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COUNTIFS" hidden="1">#NAME?</definedName>
    <definedName name="_xlfn.SUMIFS" hidden="1">#NAME?</definedName>
    <definedName name="Nguyennhan">'[1]Nguyen_nhan'!$B$3:$B$16</definedName>
    <definedName name="_xlnm.Print_Area" localSheetId="12">'06'!$A$1:$S$119</definedName>
    <definedName name="_xlnm.Print_Area" localSheetId="13">'07'!$A$1:$T$123</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13.xml><?xml version="1.0" encoding="utf-8"?>
<comments xmlns="http://schemas.openxmlformats.org/spreadsheetml/2006/main">
  <authors>
    <author>IT DAK LAK</author>
  </authors>
  <commentList>
    <comment ref="H107" authorId="0">
      <text>
        <r>
          <rPr>
            <b/>
            <sz val="8"/>
            <rFont val="Tahoma"/>
            <family val="2"/>
          </rPr>
          <t>IT DAK LAK:</t>
        </r>
        <r>
          <rPr>
            <sz val="8"/>
            <rFont val="Tahoma"/>
            <family val="2"/>
          </rPr>
          <t xml:space="preserve">
</t>
        </r>
      </text>
    </comment>
  </commentList>
</comments>
</file>

<file path=xl/comments14.xml><?xml version="1.0" encoding="utf-8"?>
<comments xmlns="http://schemas.openxmlformats.org/spreadsheetml/2006/main">
  <authors>
    <author>IT DAK LAK</author>
  </authors>
  <commentList>
    <comment ref="C107" authorId="0">
      <text>
        <r>
          <rPr>
            <b/>
            <sz val="8"/>
            <rFont val="Tahoma"/>
            <family val="2"/>
          </rPr>
          <t>IT DAK LAK:</t>
        </r>
        <r>
          <rPr>
            <sz val="8"/>
            <rFont val="Tahoma"/>
            <family val="2"/>
          </rPr>
          <t xml:space="preserve">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<sst xmlns="http://schemas.openxmlformats.org/spreadsheetml/2006/main" count="1259" uniqueCount="597">
  <si>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</si>
  <si>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</si>
  <si>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</si>
  <si>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</si>
  <si>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</si>
  <si>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</si>
  <si>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</si>
  <si>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</si>
  <si>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</si>
  <si>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</si>
  <si>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</si>
  <si>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</si>
  <si>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</si>
  <si>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</si>
  <si>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</si>
  <si>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</si>
  <si>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</si>
  <si>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</si>
  <si>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</si>
  <si>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</si>
  <si>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</si>
  <si>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</si>
  <si>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</si>
  <si>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</si>
  <si>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</si>
  <si>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</si>
  <si>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</si>
  <si>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</si>
  <si>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</si>
  <si>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</si>
  <si>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</si>
  <si>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</si>
  <si>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</si>
  <si>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</si>
  <si>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</si>
  <si>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</si>
  <si>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</si>
  <si>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</si>
  <si>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</si>
  <si>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</si>
  <si>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</si>
  <si>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</si>
  <si>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</si>
  <si>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</si>
  <si>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</si>
  <si>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</si>
  <si>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</si>
  <si>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</si>
  <si>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</si>
  <si>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</si>
  <si>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</si>
  <si>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</si>
  <si>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</si>
  <si>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</si>
  <si>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</si>
  <si>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</si>
  <si>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</si>
  <si>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</si>
  <si>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</si>
  <si>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</si>
  <si>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</si>
  <si>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</si>
  <si>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</si>
  <si>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</si>
  <si>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</si>
  <si>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</si>
  <si>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</si>
  <si>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</si>
  <si>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</si>
  <si>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</si>
  <si>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</si>
  <si>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</si>
  <si>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</si>
  <si>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</si>
  <si>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</si>
  <si>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</si>
  <si>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</si>
  <si>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</si>
  <si>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</si>
  <si>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</si>
  <si>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</si>
  <si>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</si>
  <si>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</si>
  <si>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</si>
  <si>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</si>
  <si>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</si>
  <si>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</si>
  <si>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</si>
  <si>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</si>
  <si>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</si>
  <si>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</si>
  <si>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</si>
  <si>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</si>
  <si>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</si>
  <si>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</si>
  <si>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</si>
  <si>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</si>
  <si>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</si>
  <si>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</si>
  <si>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</si>
  <si>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</si>
  <si>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</si>
  <si>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</si>
  <si>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</si>
  <si>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</si>
  <si>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</si>
  <si>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</si>
  <si>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</si>
  <si>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</si>
  <si>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</si>
  <si>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</si>
  <si>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</si>
  <si>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</si>
  <si>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</si>
  <si>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</si>
  <si>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</si>
  <si>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</si>
  <si>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</si>
  <si>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</si>
  <si>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</si>
  <si>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</si>
  <si>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</si>
  <si>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</si>
  <si>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</si>
  <si>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</si>
  <si>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</si>
  <si>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</si>
  <si>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</si>
  <si>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</si>
  <si>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</si>
  <si>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</si>
  <si>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</si>
  <si>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</si>
  <si>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</si>
  <si>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</si>
  <si>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</si>
  <si>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</si>
  <si>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</si>
  <si>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</si>
  <si>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</si>
  <si>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</si>
  <si>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</si>
  <si>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</si>
  <si>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</si>
  <si>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</si>
  <si>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</si>
  <si>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</si>
  <si>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</si>
  <si>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</si>
  <si>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</si>
  <si>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</si>
  <si>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</si>
  <si>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</si>
  <si>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</si>
  <si>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</si>
  <si>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</si>
  <si>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</si>
  <si>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</si>
  <si>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</si>
  <si>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</si>
  <si>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</si>
  <si>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</si>
  <si>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</si>
  <si>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</si>
  <si>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</si>
  <si>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</si>
  <si>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</si>
  <si>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</si>
  <si>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</si>
  <si>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</si>
  <si>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</si>
  <si>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</si>
  <si>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</si>
  <si>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</si>
  <si>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</si>
  <si>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</si>
  <si>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</si>
  <si>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</si>
  <si>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</si>
  <si>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</si>
  <si>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</si>
  <si>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</si>
  <si>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</si>
  <si>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</si>
  <si>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</si>
  <si>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</si>
  <si>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</si>
  <si>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</si>
  <si>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</si>
  <si>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</si>
  <si>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</si>
  <si>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</si>
  <si>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</si>
  <si>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</si>
  <si>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</si>
  <si>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</si>
  <si>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</si>
  <si>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</si>
  <si>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</si>
  <si>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</si>
  <si>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</si>
  <si>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</si>
  <si>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</si>
  <si>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</si>
  <si>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</si>
  <si>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</si>
  <si>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</si>
  <si>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</si>
  <si>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</si>
  <si>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</si>
  <si>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</si>
  <si>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</si>
  <si>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</si>
  <si>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</si>
  <si>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</si>
  <si>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</si>
  <si>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</si>
  <si>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</si>
  <si>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</si>
  <si>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</si>
  <si>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</si>
  <si>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</si>
  <si>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</si>
  <si>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</si>
  <si>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</si>
  <si>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</si>
  <si>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</si>
  <si>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</si>
  <si>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</si>
  <si>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</si>
  <si>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</si>
  <si>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</si>
  <si>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</si>
  <si>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</si>
  <si>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</si>
  <si>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</si>
  <si>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</si>
  <si>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</si>
  <si>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</si>
  <si>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</si>
  <si>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</si>
  <si>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</si>
  <si>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</si>
  <si>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</si>
  <si>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</si>
  <si>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</si>
  <si>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</si>
  <si>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</si>
  <si>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</si>
  <si>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</si>
  <si>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</si>
  <si>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</si>
  <si>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</si>
  <si>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</si>
  <si>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</si>
  <si>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</si>
  <si>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</si>
  <si>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</si>
  <si>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</si>
  <si>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</si>
  <si>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</si>
  <si>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</si>
  <si>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</si>
  <si>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</si>
  <si>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</si>
  <si>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</si>
  <si>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</si>
  <si>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</si>
  <si>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</si>
  <si>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</si>
  <si>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</si>
  <si>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</si>
  <si>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</si>
  <si>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</si>
  <si>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</si>
  <si>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</si>
  <si>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</si>
  <si>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</si>
  <si>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</si>
  <si>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</si>
  <si>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</si>
  <si>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</si>
  <si>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</si>
  <si>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</si>
  <si>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</si>
  <si>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</si>
  <si>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</si>
  <si>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</si>
  <si>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</si>
  <si>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</si>
  <si>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</si>
  <si>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</si>
  <si>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</si>
  <si>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</si>
  <si>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</si>
  <si>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</si>
  <si>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</si>
  <si>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</si>
  <si>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</si>
  <si>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</si>
  <si>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</si>
  <si>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</si>
  <si>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</si>
  <si>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</si>
  <si>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</si>
  <si>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</si>
  <si>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</si>
  <si>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</si>
  <si>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</si>
  <si>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</si>
  <si>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</si>
  <si>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</si>
  <si>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</si>
  <si>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</si>
  <si>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</si>
  <si>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</si>
  <si>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</si>
  <si>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</si>
  <si>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</si>
  <si>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</si>
  <si>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</si>
  <si>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</si>
  <si>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</si>
  <si>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</si>
  <si>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</si>
  <si>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</si>
  <si>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</si>
  <si>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</si>
  <si>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</si>
  <si>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</si>
  <si>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</si>
  <si>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</si>
  <si>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</si>
  <si>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</si>
  <si>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</si>
  <si>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</si>
  <si>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</si>
  <si>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</si>
  <si>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</si>
  <si>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</si>
  <si>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</si>
  <si>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</si>
  <si>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</si>
  <si>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</si>
  <si>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</si>
  <si>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</si>
  <si>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</si>
  <si>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</si>
  <si>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</si>
  <si>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</si>
  <si>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</si>
  <si>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</si>
  <si>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</si>
  <si>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</si>
  <si>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</si>
  <si>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</si>
  <si>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</si>
  <si>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</si>
  <si>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</si>
  <si>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</si>
  <si>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</si>
  <si>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</si>
  <si>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</si>
  <si>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</si>
  <si>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</si>
  <si>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</si>
  <si>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</si>
  <si>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</si>
  <si>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</si>
  <si>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</si>
  <si>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</si>
  <si>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</si>
  <si>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</si>
  <si>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</si>
  <si>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</si>
  <si>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</si>
  <si>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</si>
  <si>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</si>
  <si>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</si>
  <si>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</si>
  <si>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</si>
  <si>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</si>
  <si>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</si>
  <si>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</si>
  <si>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</si>
  <si>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</si>
  <si>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</si>
  <si>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</si>
  <si>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</si>
  <si>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</si>
  <si>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</si>
  <si>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</si>
  <si>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</si>
  <si>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</si>
  <si>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</si>
  <si>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</si>
  <si>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</si>
  <si>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</si>
  <si>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</si>
  <si>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</si>
  <si>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</si>
  <si>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</si>
  <si>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</si>
  <si>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</si>
  <si>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</si>
  <si>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</si>
  <si>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</si>
  <si>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</si>
  <si>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</si>
  <si>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</si>
  <si>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</si>
  <si>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</si>
  <si>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</si>
  <si>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</si>
  <si>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</si>
  <si>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</si>
  <si>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</si>
  <si>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</si>
  <si>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</si>
  <si>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</si>
  <si>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</si>
  <si>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</si>
  <si>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</si>
  <si>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</si>
  <si>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</si>
  <si>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</si>
  <si>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</si>
  <si>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</si>
  <si>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</si>
  <si>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</si>
  <si>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</si>
  <si>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</si>
  <si>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</si>
  <si>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Nguyễn Thị Mai Hoa</t>
  </si>
  <si>
    <t>0</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</si>
  <si>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</si>
  <si>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</si>
  <si>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</si>
  <si>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</si>
  <si>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</si>
  <si>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</si>
  <si>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</si>
  <si>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</si>
  <si>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</si>
  <si>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</si>
  <si>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</si>
  <si>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</si>
  <si>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</si>
  <si>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</si>
  <si>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</si>
  <si>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</si>
  <si>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</si>
  <si>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</si>
  <si>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</si>
  <si>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</si>
  <si>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</si>
  <si>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</si>
  <si>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 xml:space="preserve"> Nguyễn Phi Hùng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</si>
  <si>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</si>
  <si>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</si>
  <si>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</si>
  <si>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</si>
  <si>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</si>
  <si>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</si>
  <si>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</si>
  <si>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</si>
  <si>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</si>
  <si>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H.Bạch Long Vĩ</t>
  </si>
  <si>
    <t>Nguyễn Đồng Lai</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</si>
  <si>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</si>
  <si>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</si>
  <si>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</si>
  <si>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</si>
  <si>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</si>
  <si>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</si>
  <si>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</si>
  <si>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</si>
  <si>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</si>
  <si>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</si>
  <si>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</si>
  <si>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</si>
  <si>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</si>
  <si>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5.8</t>
  </si>
  <si>
    <t>Nguyễn Thị Phích</t>
  </si>
  <si>
    <t xml:space="preserve"> Q.Hải An</t>
  </si>
  <si>
    <t xml:space="preserve"> Nguyễn Văn Lai</t>
  </si>
  <si>
    <t>Ng.Thị Ph.Thảo</t>
  </si>
  <si>
    <t>Trịnh Quang Khánh</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</si>
  <si>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</si>
  <si>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</si>
  <si>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</si>
  <si>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</si>
  <si>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</si>
  <si>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</si>
  <si>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</si>
  <si>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</si>
  <si>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</si>
  <si>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</si>
  <si>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</si>
  <si>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</si>
  <si>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</si>
  <si>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</si>
  <si>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</si>
  <si>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</si>
  <si>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</si>
  <si>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</si>
  <si>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</si>
  <si>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</si>
  <si>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</si>
  <si>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</si>
  <si>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</si>
  <si>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</si>
  <si>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</si>
  <si>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10.10</t>
  </si>
  <si>
    <t xml:space="preserve"> H.Cát Hải</t>
  </si>
  <si>
    <t>11.1</t>
  </si>
  <si>
    <t>Nguyễn Tiến Dược</t>
  </si>
  <si>
    <t>11.2</t>
  </si>
  <si>
    <t xml:space="preserve"> Hồ Anh Văn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</si>
  <si>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</si>
  <si>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</si>
  <si>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</si>
  <si>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</si>
  <si>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</si>
  <si>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</si>
  <si>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</si>
  <si>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</si>
  <si>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</si>
  <si>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</si>
  <si>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</si>
  <si>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</si>
  <si>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</si>
  <si>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</si>
  <si>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</si>
  <si>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</si>
  <si>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</si>
  <si>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</si>
  <si>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</si>
  <si>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</si>
  <si>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t>Trần Thị Minh</t>
  </si>
  <si>
    <r>
      <t xml:space="preserve">CTHADS </t>
    </r>
    <r>
      <rPr>
        <sz val="12"/>
        <color indexed="10"/>
        <rFont val="Times New Roman"/>
        <family val="1"/>
      </rPr>
      <t>Hải Phòng</t>
    </r>
  </si>
  <si>
    <t xml:space="preserve">
PHÓ CỤC TRƯỞNG</t>
  </si>
  <si>
    <t>Bùi Đức Tiến</t>
  </si>
  <si>
    <t>Đỗ Khắc Oanh</t>
  </si>
  <si>
    <t>Đỗ Thị Thanh Thủy</t>
  </si>
  <si>
    <t>Nguyễn Trí Thành</t>
  </si>
  <si>
    <t>Bùi Mạnh Hùng</t>
  </si>
  <si>
    <t>Phạm Thị Thu Hiền</t>
  </si>
  <si>
    <t>Hoàng Vân Anh</t>
  </si>
  <si>
    <t>8.3</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</si>
  <si>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</si>
  <si>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</si>
  <si>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</si>
  <si>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</si>
  <si>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</si>
  <si>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</si>
  <si>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</si>
  <si>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13.10</t>
  </si>
  <si>
    <t xml:space="preserve"> Hoàng Trọng Hiếu</t>
  </si>
  <si>
    <t>13.11</t>
  </si>
  <si>
    <t>Tô Anh Dũng</t>
  </si>
  <si>
    <t>Lương Thanh Thủy</t>
  </si>
  <si>
    <t>Phạm Văn Phúc</t>
  </si>
  <si>
    <t>PHÓ CỤC TRƯỞNG</t>
  </si>
  <si>
    <t xml:space="preserve">Nguyễn Thị Mai Hoa </t>
  </si>
  <si>
    <t>Q. Hồng Bàng</t>
  </si>
  <si>
    <t>10.2</t>
  </si>
  <si>
    <t>Lê Thị Tuyết Thanh</t>
  </si>
  <si>
    <t>Nguyễn Thanh Hải</t>
  </si>
  <si>
    <t>Nguyễn T Diệp Anh</t>
  </si>
  <si>
    <t>Lê Văn Thụy</t>
  </si>
  <si>
    <t>Hoàng Tiến Dũng</t>
  </si>
  <si>
    <t>Nguyễn Văn Lai</t>
  </si>
  <si>
    <t>Nguyễn T.P Thảo</t>
  </si>
  <si>
    <t>Nguyễn Văn Thảnh</t>
  </si>
  <si>
    <t>Phạm Thế Toàn</t>
  </si>
  <si>
    <t>Lê Văn Diên</t>
  </si>
  <si>
    <t>Lê Viết Thắng</t>
  </si>
  <si>
    <t>64</t>
  </si>
  <si>
    <t>100</t>
  </si>
  <si>
    <t>Nguyễn Thị Thủy</t>
  </si>
  <si>
    <t>6.1</t>
  </si>
  <si>
    <t>6.2</t>
  </si>
  <si>
    <t>6.3</t>
  </si>
  <si>
    <t>6.4</t>
  </si>
  <si>
    <t>94</t>
  </si>
  <si>
    <t>62</t>
  </si>
  <si>
    <t>45</t>
  </si>
  <si>
    <t>184</t>
  </si>
  <si>
    <t>137</t>
  </si>
  <si>
    <t>90</t>
  </si>
  <si>
    <r>
      <rPr>
        <sz val="12"/>
        <color indexed="10"/>
        <rFont val="Times New Roman"/>
        <family val="1"/>
      </rPr>
      <t>05</t>
    </r>
    <r>
      <rPr>
        <sz val="12"/>
        <rFont val="Times New Roman"/>
        <family val="1"/>
      </rPr>
      <t xml:space="preserve"> tháng / năm 2017</t>
    </r>
  </si>
  <si>
    <t>Hải Phòng, ngày 06 tháng 3 năm 2016</t>
  </si>
  <si>
    <t>Hải Phòng, ngày 06 tháng 3 năm 2017</t>
  </si>
  <si>
    <r>
      <t xml:space="preserve">Hải Phòng, ngày </t>
    </r>
    <r>
      <rPr>
        <sz val="12"/>
        <color indexed="10"/>
        <rFont val="Times New Roman"/>
        <family val="1"/>
      </rPr>
      <t xml:space="preserve">06 </t>
    </r>
    <r>
      <rPr>
        <sz val="12"/>
        <rFont val="Times New Roman"/>
        <family val="1"/>
      </rPr>
      <t>tháng 3 năm 2017</t>
    </r>
  </si>
  <si>
    <t>PHAN LOAI</t>
  </si>
  <si>
    <t xml:space="preserve">GIAM VIEC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</si>
</sst>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
    <numFmt numFmtId="217" formatCode="_(* #,##0_);_(* \(#,##0\);_(* &quot;&quot;??_);_(@_)"/>
  </numFmts>
  <fonts count="147">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color indexed="8"/>
      <name val="Calibri"/>
      <family val="2"/>
    </font>
    <font>
      <i/>
      <sz val="8"/>
      <color indexed="10"/>
      <name val="Times New Roman"/>
      <family val="1"/>
    </font>
    <font>
      <b/>
      <sz val="14"/>
      <color indexed="10"/>
      <name val="Times New Roman"/>
      <family val="1"/>
    </font>
    <font>
      <b/>
      <sz val="8"/>
      <name val="Tahoma"/>
      <family val="2"/>
    </font>
    <font>
      <sz val="8"/>
      <name val="Tahoma"/>
      <family val="2"/>
    </font>
    <font>
      <sz val="8"/>
      <color indexed="10"/>
      <name val="Times New Roman"/>
      <family val="1"/>
    </font>
    <font>
      <sz val="8"/>
      <name val="Segoe UI Symbol"/>
      <family val="2"/>
    </font>
    <font>
      <sz val="8"/>
      <name val="Arial Narrow"/>
      <family val="2"/>
    </font>
    <font>
      <sz val="8"/>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0"/>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double"/>
      <top style="double"/>
      <bottom style="thin"/>
    </border>
    <border>
      <left>
        <color indexed="63"/>
      </left>
      <right>
        <color indexed="63"/>
      </right>
      <top>
        <color indexed="63"/>
      </top>
      <bottom style="double"/>
    </border>
  </borders>
  <cellStyleXfs count="2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8"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128"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28"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128"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8"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28"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28"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8" fillId="12"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1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128"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128"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29"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29" fillId="21"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129"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129"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9"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9"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129"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129"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29" fillId="30"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29" fillId="3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129" fillId="3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29" fillId="34"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130" fillId="36"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31" fillId="37" borderId="1" applyNumberFormat="0" applyAlignment="0" applyProtection="0"/>
    <xf numFmtId="0" fontId="40" fillId="38" borderId="2" applyNumberFormat="0" applyAlignment="0" applyProtection="0"/>
    <xf numFmtId="0" fontId="40"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2" fillId="39" borderId="3" applyNumberFormat="0" applyAlignment="0" applyProtection="0"/>
    <xf numFmtId="0" fontId="41" fillId="40" borderId="4" applyNumberFormat="0" applyAlignment="0" applyProtection="0"/>
    <xf numFmtId="0" fontId="41" fillId="40" borderId="4" applyNumberFormat="0" applyAlignment="0" applyProtection="0"/>
    <xf numFmtId="0" fontId="13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134" fillId="41"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135"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136" fillId="0" borderId="7" applyNumberFormat="0" applyFill="0" applyAlignment="0" applyProtection="0"/>
    <xf numFmtId="0" fontId="45" fillId="0" borderId="8" applyNumberFormat="0" applyFill="0" applyAlignment="0" applyProtection="0"/>
    <xf numFmtId="0" fontId="45" fillId="0" borderId="8" applyNumberFormat="0" applyFill="0" applyAlignment="0" applyProtection="0"/>
    <xf numFmtId="0" fontId="137" fillId="0" borderId="9" applyNumberFormat="0" applyFill="0" applyAlignment="0" applyProtection="0"/>
    <xf numFmtId="0" fontId="46" fillId="0" borderId="10" applyNumberFormat="0" applyFill="0" applyAlignment="0" applyProtection="0"/>
    <xf numFmtId="0" fontId="46" fillId="0" borderId="10" applyNumberFormat="0" applyFill="0" applyAlignment="0" applyProtection="0"/>
    <xf numFmtId="0" fontId="13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38" fillId="42" borderId="1" applyNumberFormat="0" applyAlignment="0" applyProtection="0"/>
    <xf numFmtId="0" fontId="47" fillId="9" borderId="2" applyNumberFormat="0" applyAlignment="0" applyProtection="0"/>
    <xf numFmtId="0" fontId="47" fillId="9" borderId="2" applyNumberFormat="0" applyAlignment="0" applyProtection="0"/>
    <xf numFmtId="0" fontId="139" fillId="0" borderId="11" applyNumberFormat="0" applyFill="0" applyAlignment="0" applyProtection="0"/>
    <xf numFmtId="0" fontId="48" fillId="0" borderId="12" applyNumberFormat="0" applyFill="0" applyAlignment="0" applyProtection="0"/>
    <xf numFmtId="0" fontId="48" fillId="0" borderId="12" applyNumberFormat="0" applyFill="0" applyAlignment="0" applyProtection="0"/>
    <xf numFmtId="0" fontId="140"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0"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02" fillId="0" borderId="0">
      <alignment/>
      <protection/>
    </xf>
    <xf numFmtId="0" fontId="14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45" borderId="13" applyNumberFormat="0" applyFont="0" applyAlignment="0" applyProtection="0"/>
    <xf numFmtId="0" fontId="37" fillId="46" borderId="14" applyNumberFormat="0" applyFont="0" applyAlignment="0" applyProtection="0"/>
    <xf numFmtId="0" fontId="37" fillId="46" borderId="14" applyNumberFormat="0" applyFont="0" applyAlignment="0" applyProtection="0"/>
    <xf numFmtId="0" fontId="142" fillId="37" borderId="15" applyNumberFormat="0" applyAlignment="0" applyProtection="0"/>
    <xf numFmtId="0" fontId="50" fillId="38" borderId="16" applyNumberFormat="0" applyAlignment="0" applyProtection="0"/>
    <xf numFmtId="0" fontId="50"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0" fontId="1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44" fillId="0" borderId="17"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4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cellStyleXfs>
  <cellXfs count="948">
    <xf numFmtId="0" fontId="0" fillId="0" borderId="0" xfId="0" applyAlignment="1">
      <alignment/>
    </xf>
    <xf numFmtId="49" fontId="0" fillId="0" borderId="0" xfId="0" applyNumberFormat="1" applyFill="1" applyAlignment="1">
      <alignment/>
    </xf>
    <xf numFmtId="49" fontId="9" fillId="0" borderId="0" xfId="93" applyNumberFormat="1" applyFont="1" applyBorder="1" applyAlignment="1">
      <alignment vertical="center"/>
    </xf>
    <xf numFmtId="49" fontId="9" fillId="0" borderId="19" xfId="93"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264" applyNumberFormat="1" applyFont="1" applyFill="1" applyBorder="1" applyAlignment="1" applyProtection="1">
      <alignment horizontal="center" vertical="center"/>
      <protection/>
    </xf>
    <xf numFmtId="49" fontId="0" fillId="47" borderId="0" xfId="265" applyNumberFormat="1" applyFont="1" applyFill="1" applyBorder="1" applyAlignment="1">
      <alignment horizontal="left"/>
      <protection/>
    </xf>
    <xf numFmtId="49" fontId="0" fillId="0" borderId="0" xfId="265" applyNumberFormat="1" applyFont="1">
      <alignment/>
      <protection/>
    </xf>
    <xf numFmtId="49" fontId="0" fillId="0" borderId="0" xfId="265" applyNumberFormat="1">
      <alignment/>
      <protection/>
    </xf>
    <xf numFmtId="49" fontId="0" fillId="0" borderId="0" xfId="265" applyNumberFormat="1" applyFont="1" applyAlignment="1">
      <alignment horizontal="left"/>
      <protection/>
    </xf>
    <xf numFmtId="49" fontId="0" fillId="0" borderId="0" xfId="265" applyNumberFormat="1" applyFont="1" applyBorder="1" applyAlignment="1">
      <alignment wrapText="1"/>
      <protection/>
    </xf>
    <xf numFmtId="49" fontId="15" fillId="0" borderId="0" xfId="265" applyNumberFormat="1" applyFont="1" applyAlignment="1">
      <alignment/>
      <protection/>
    </xf>
    <xf numFmtId="49" fontId="0" fillId="0" borderId="0" xfId="265" applyNumberFormat="1" applyFont="1" applyBorder="1" applyAlignment="1">
      <alignment horizontal="left" wrapText="1"/>
      <protection/>
    </xf>
    <xf numFmtId="49" fontId="18" fillId="0" borderId="0" xfId="265" applyNumberFormat="1" applyFont="1" applyAlignment="1">
      <alignment horizontal="left"/>
      <protection/>
    </xf>
    <xf numFmtId="49" fontId="0" fillId="0" borderId="0" xfId="265" applyNumberFormat="1" applyFont="1" applyFill="1" applyAlignment="1">
      <alignment/>
      <protection/>
    </xf>
    <xf numFmtId="49" fontId="0" fillId="0" borderId="0" xfId="265" applyNumberFormat="1" applyFont="1" applyFill="1" applyAlignment="1">
      <alignment horizontal="center"/>
      <protection/>
    </xf>
    <xf numFmtId="49" fontId="0" fillId="0" borderId="0" xfId="265" applyNumberFormat="1" applyFont="1" applyAlignment="1">
      <alignment horizontal="center"/>
      <protection/>
    </xf>
    <xf numFmtId="49" fontId="0" fillId="0" borderId="0" xfId="265" applyNumberFormat="1" applyFont="1" applyFill="1">
      <alignment/>
      <protection/>
    </xf>
    <xf numFmtId="49" fontId="13" fillId="47" borderId="22" xfId="265" applyNumberFormat="1" applyFont="1" applyFill="1" applyBorder="1" applyAlignment="1">
      <alignment/>
      <protection/>
    </xf>
    <xf numFmtId="49" fontId="7" fillId="0" borderId="20" xfId="265" applyNumberFormat="1" applyFont="1" applyFill="1" applyBorder="1" applyAlignment="1">
      <alignment horizontal="center" vertical="center" wrapText="1"/>
      <protection/>
    </xf>
    <xf numFmtId="49" fontId="54" fillId="48" borderId="20" xfId="265" applyNumberFormat="1" applyFont="1" applyFill="1" applyBorder="1" applyAlignment="1">
      <alignment horizontal="center"/>
      <protection/>
    </xf>
    <xf numFmtId="49" fontId="7" fillId="0" borderId="21" xfId="265" applyNumberFormat="1" applyFont="1" applyFill="1" applyBorder="1" applyAlignment="1">
      <alignment horizontal="center" vertical="center" wrapText="1"/>
      <protection/>
    </xf>
    <xf numFmtId="49" fontId="7" fillId="0" borderId="20" xfId="265" applyNumberFormat="1" applyFont="1" applyBorder="1" applyAlignment="1">
      <alignment horizontal="center" vertical="center" wrapText="1"/>
      <protection/>
    </xf>
    <xf numFmtId="49" fontId="55" fillId="0" borderId="20" xfId="265" applyNumberFormat="1" applyFont="1" applyFill="1" applyBorder="1" applyAlignment="1">
      <alignment horizontal="center" vertical="center" wrapText="1"/>
      <protection/>
    </xf>
    <xf numFmtId="49" fontId="18" fillId="0" borderId="20" xfId="265" applyNumberFormat="1" applyFont="1" applyBorder="1" applyAlignment="1">
      <alignment horizontal="center" vertical="center"/>
      <protection/>
    </xf>
    <xf numFmtId="3" fontId="0" fillId="0" borderId="20" xfId="265" applyNumberFormat="1" applyFont="1" applyBorder="1" applyAlignment="1">
      <alignment horizontal="center" vertical="center"/>
      <protection/>
    </xf>
    <xf numFmtId="3" fontId="0" fillId="0" borderId="20" xfId="265" applyNumberFormat="1" applyFont="1" applyBorder="1" applyAlignment="1">
      <alignment vertical="center"/>
      <protection/>
    </xf>
    <xf numFmtId="49" fontId="0" fillId="0" borderId="0" xfId="265" applyNumberFormat="1" applyAlignment="1">
      <alignment vertical="center"/>
      <protection/>
    </xf>
    <xf numFmtId="3" fontId="53" fillId="3" borderId="20" xfId="265" applyNumberFormat="1" applyFont="1" applyFill="1" applyBorder="1" applyAlignment="1">
      <alignment vertical="center"/>
      <protection/>
    </xf>
    <xf numFmtId="3" fontId="58" fillId="3" borderId="20" xfId="265" applyNumberFormat="1" applyFont="1" applyFill="1" applyBorder="1" applyAlignment="1">
      <alignment vertical="center"/>
      <protection/>
    </xf>
    <xf numFmtId="49" fontId="59" fillId="0" borderId="20" xfId="265" applyNumberFormat="1" applyFont="1" applyBorder="1" applyAlignment="1">
      <alignment horizontal="center" vertical="center"/>
      <protection/>
    </xf>
    <xf numFmtId="3" fontId="25" fillId="44" borderId="20" xfId="265" applyNumberFormat="1" applyFont="1" applyFill="1" applyBorder="1" applyAlignment="1">
      <alignment vertical="center"/>
      <protection/>
    </xf>
    <xf numFmtId="3" fontId="3" fillId="48" borderId="20" xfId="265" applyNumberFormat="1" applyFont="1" applyFill="1" applyBorder="1" applyAlignment="1">
      <alignment horizontal="center" vertical="center"/>
      <protection/>
    </xf>
    <xf numFmtId="3" fontId="3" fillId="48" borderId="20" xfId="265" applyNumberFormat="1" applyFont="1" applyFill="1" applyBorder="1" applyAlignment="1">
      <alignment vertical="center"/>
      <protection/>
    </xf>
    <xf numFmtId="49" fontId="7" fillId="44" borderId="20" xfId="265" applyNumberFormat="1" applyFont="1" applyFill="1" applyBorder="1" applyAlignment="1">
      <alignment horizontal="center" vertical="center"/>
      <protection/>
    </xf>
    <xf numFmtId="49" fontId="7" fillId="44" borderId="20" xfId="265" applyNumberFormat="1" applyFont="1" applyFill="1" applyBorder="1" applyAlignment="1">
      <alignment horizontal="left" vertical="center"/>
      <protection/>
    </xf>
    <xf numFmtId="3" fontId="29" fillId="48" borderId="20" xfId="265" applyNumberFormat="1" applyFont="1" applyFill="1" applyBorder="1" applyAlignment="1">
      <alignment vertical="center"/>
      <protection/>
    </xf>
    <xf numFmtId="3" fontId="29" fillId="0" borderId="20" xfId="265" applyNumberFormat="1" applyFont="1" applyFill="1" applyBorder="1" applyAlignment="1">
      <alignment vertical="center"/>
      <protection/>
    </xf>
    <xf numFmtId="9" fontId="0" fillId="0" borderId="0" xfId="275" applyFont="1" applyAlignment="1">
      <alignment vertical="center"/>
    </xf>
    <xf numFmtId="49" fontId="7" fillId="44" borderId="23" xfId="265" applyNumberFormat="1" applyFont="1" applyFill="1" applyBorder="1" applyAlignment="1">
      <alignment horizontal="center" vertical="center"/>
      <protection/>
    </xf>
    <xf numFmtId="3" fontId="25" fillId="44" borderId="20" xfId="265" applyNumberFormat="1" applyFont="1" applyFill="1" applyBorder="1" applyAlignment="1">
      <alignment vertical="center"/>
      <protection/>
    </xf>
    <xf numFmtId="49" fontId="4" fillId="0" borderId="20" xfId="265" applyNumberFormat="1" applyFont="1" applyBorder="1" applyAlignment="1">
      <alignment horizontal="center" vertical="center"/>
      <protection/>
    </xf>
    <xf numFmtId="49" fontId="4" fillId="47" borderId="20" xfId="265" applyNumberFormat="1" applyFont="1" applyFill="1" applyBorder="1" applyAlignment="1">
      <alignment horizontal="left" vertical="center"/>
      <protection/>
    </xf>
    <xf numFmtId="49" fontId="5" fillId="47" borderId="20" xfId="265" applyNumberFormat="1" applyFont="1" applyFill="1" applyBorder="1" applyAlignment="1">
      <alignment horizontal="left" vertical="center"/>
      <protection/>
    </xf>
    <xf numFmtId="3" fontId="29" fillId="0" borderId="20" xfId="266" applyNumberFormat="1" applyFont="1" applyFill="1" applyBorder="1" applyAlignment="1">
      <alignment vertical="center"/>
      <protection/>
    </xf>
    <xf numFmtId="49" fontId="20" fillId="0" borderId="0" xfId="265" applyNumberFormat="1" applyFont="1" applyAlignment="1">
      <alignment vertical="center"/>
      <protection/>
    </xf>
    <xf numFmtId="49" fontId="4" fillId="47" borderId="20" xfId="265" applyNumberFormat="1" applyFont="1" applyFill="1" applyBorder="1" applyAlignment="1">
      <alignment horizontal="left" vertical="center"/>
      <protection/>
    </xf>
    <xf numFmtId="3" fontId="29" fillId="0" borderId="20" xfId="266" applyNumberFormat="1" applyFont="1" applyFill="1" applyBorder="1" applyAlignment="1">
      <alignment horizontal="center" vertical="center"/>
      <protection/>
    </xf>
    <xf numFmtId="49" fontId="0" fillId="0" borderId="0" xfId="265" applyNumberFormat="1" applyFill="1">
      <alignment/>
      <protection/>
    </xf>
    <xf numFmtId="49" fontId="20" fillId="0" borderId="0" xfId="265" applyNumberFormat="1" applyFont="1">
      <alignment/>
      <protection/>
    </xf>
    <xf numFmtId="49" fontId="29" fillId="0" borderId="0" xfId="265" applyNumberFormat="1" applyFont="1" applyFill="1" applyBorder="1" applyAlignment="1">
      <alignment horizontal="center" wrapText="1"/>
      <protection/>
    </xf>
    <xf numFmtId="49" fontId="60" fillId="0" borderId="0" xfId="265" applyNumberFormat="1" applyFont="1" applyBorder="1">
      <alignment/>
      <protection/>
    </xf>
    <xf numFmtId="49" fontId="61" fillId="0" borderId="0" xfId="265" applyNumberFormat="1" applyFont="1">
      <alignment/>
      <protection/>
    </xf>
    <xf numFmtId="49" fontId="1" fillId="0" borderId="0" xfId="265" applyNumberFormat="1" applyFont="1">
      <alignment/>
      <protection/>
    </xf>
    <xf numFmtId="9" fontId="1" fillId="0" borderId="0" xfId="275" applyFont="1" applyAlignment="1">
      <alignment/>
    </xf>
    <xf numFmtId="49" fontId="62" fillId="0" borderId="0" xfId="265" applyNumberFormat="1" applyFont="1" applyBorder="1">
      <alignment/>
      <protection/>
    </xf>
    <xf numFmtId="49" fontId="25" fillId="0" borderId="0" xfId="265" applyNumberFormat="1" applyFont="1" applyBorder="1" applyAlignment="1">
      <alignment horizontal="center" wrapText="1"/>
      <protection/>
    </xf>
    <xf numFmtId="49" fontId="25" fillId="0" borderId="0" xfId="265" applyNumberFormat="1" applyFont="1" applyFill="1" applyBorder="1" applyAlignment="1">
      <alignment horizontal="center" wrapText="1"/>
      <protection/>
    </xf>
    <xf numFmtId="49" fontId="63" fillId="0" borderId="0" xfId="265" applyNumberFormat="1" applyFont="1" applyBorder="1">
      <alignment/>
      <protection/>
    </xf>
    <xf numFmtId="49" fontId="64" fillId="0" borderId="0" xfId="265" applyNumberFormat="1" applyFont="1" applyBorder="1" applyAlignment="1">
      <alignment wrapText="1"/>
      <protection/>
    </xf>
    <xf numFmtId="49" fontId="2" fillId="0" borderId="0" xfId="265" applyNumberFormat="1" applyFont="1" applyBorder="1">
      <alignment/>
      <protection/>
    </xf>
    <xf numFmtId="49" fontId="41" fillId="0" borderId="0" xfId="265" applyNumberFormat="1" applyFont="1" applyBorder="1" applyAlignment="1">
      <alignment horizontal="center" wrapText="1"/>
      <protection/>
    </xf>
    <xf numFmtId="49" fontId="41" fillId="0" borderId="0" xfId="265" applyNumberFormat="1" applyFont="1" applyFill="1" applyBorder="1" applyAlignment="1">
      <alignment horizontal="center" wrapText="1"/>
      <protection/>
    </xf>
    <xf numFmtId="49" fontId="65" fillId="0" borderId="0" xfId="265" applyNumberFormat="1" applyFont="1" applyBorder="1">
      <alignment/>
      <protection/>
    </xf>
    <xf numFmtId="49" fontId="29" fillId="0" borderId="0" xfId="265" applyNumberFormat="1" applyFont="1">
      <alignment/>
      <protection/>
    </xf>
    <xf numFmtId="49" fontId="29" fillId="0" borderId="0" xfId="265" applyNumberFormat="1" applyFont="1" applyFill="1">
      <alignment/>
      <protection/>
    </xf>
    <xf numFmtId="49" fontId="29" fillId="47" borderId="0" xfId="265" applyNumberFormat="1" applyFont="1" applyFill="1">
      <alignment/>
      <protection/>
    </xf>
    <xf numFmtId="0" fontId="25" fillId="0" borderId="0" xfId="265" applyFont="1" applyAlignment="1">
      <alignment horizontal="center"/>
      <protection/>
    </xf>
    <xf numFmtId="49" fontId="25" fillId="47" borderId="0" xfId="265" applyNumberFormat="1" applyFont="1" applyFill="1" applyAlignment="1">
      <alignment horizontal="center"/>
      <protection/>
    </xf>
    <xf numFmtId="0" fontId="67" fillId="0" borderId="0" xfId="265" applyFont="1" applyAlignment="1">
      <alignment/>
      <protection/>
    </xf>
    <xf numFmtId="0" fontId="3" fillId="0" borderId="0" xfId="265" applyFont="1" applyAlignment="1">
      <alignment/>
      <protection/>
    </xf>
    <xf numFmtId="49" fontId="32" fillId="0" borderId="0" xfId="265" applyNumberFormat="1" applyFont="1">
      <alignment/>
      <protection/>
    </xf>
    <xf numFmtId="3" fontId="0" fillId="0" borderId="0" xfId="265" applyNumberFormat="1" applyFont="1" applyFill="1">
      <alignment/>
      <protection/>
    </xf>
    <xf numFmtId="49" fontId="3" fillId="0" borderId="0" xfId="265" applyNumberFormat="1" applyFont="1" applyFill="1" applyAlignment="1">
      <alignment wrapText="1"/>
      <protection/>
    </xf>
    <xf numFmtId="49" fontId="0" fillId="0" borderId="0" xfId="265" applyNumberFormat="1" applyFont="1" applyFill="1" applyBorder="1" applyAlignment="1">
      <alignment/>
      <protection/>
    </xf>
    <xf numFmtId="49" fontId="0" fillId="0" borderId="0" xfId="265" applyNumberFormat="1" applyFont="1" applyFill="1" applyBorder="1">
      <alignment/>
      <protection/>
    </xf>
    <xf numFmtId="49" fontId="19" fillId="0" borderId="22" xfId="265" applyNumberFormat="1" applyFont="1" applyFill="1" applyBorder="1" applyAlignment="1">
      <alignment/>
      <protection/>
    </xf>
    <xf numFmtId="49" fontId="5" fillId="0" borderId="22" xfId="265" applyNumberFormat="1" applyFont="1" applyFill="1" applyBorder="1" applyAlignment="1">
      <alignment horizontal="center"/>
      <protection/>
    </xf>
    <xf numFmtId="49" fontId="0" fillId="0" borderId="0" xfId="265" applyNumberFormat="1" applyFill="1" applyBorder="1">
      <alignment/>
      <protection/>
    </xf>
    <xf numFmtId="49" fontId="6" fillId="0" borderId="20" xfId="265" applyNumberFormat="1" applyFont="1" applyFill="1" applyBorder="1" applyAlignment="1">
      <alignment horizontal="center" vertical="center" wrapText="1"/>
      <protection/>
    </xf>
    <xf numFmtId="49" fontId="19" fillId="0" borderId="20" xfId="265" applyNumberFormat="1" applyFont="1" applyFill="1" applyBorder="1" applyAlignment="1">
      <alignment horizontal="center" vertical="center" wrapText="1"/>
      <protection/>
    </xf>
    <xf numFmtId="3" fontId="30" fillId="3" borderId="20" xfId="265" applyNumberFormat="1" applyFont="1" applyFill="1" applyBorder="1" applyAlignment="1">
      <alignment horizontal="center" vertical="center" wrapText="1"/>
      <protection/>
    </xf>
    <xf numFmtId="3" fontId="70" fillId="3" borderId="20" xfId="265" applyNumberFormat="1" applyFont="1" applyFill="1" applyBorder="1" applyAlignment="1">
      <alignment horizontal="center" vertical="center" wrapText="1"/>
      <protection/>
    </xf>
    <xf numFmtId="3" fontId="6" fillId="44" borderId="20" xfId="265" applyNumberFormat="1" applyFont="1" applyFill="1" applyBorder="1" applyAlignment="1">
      <alignment horizontal="center" vertical="center" wrapText="1"/>
      <protection/>
    </xf>
    <xf numFmtId="49" fontId="7" fillId="0" borderId="20" xfId="265" applyNumberFormat="1" applyFont="1" applyFill="1" applyBorder="1" applyAlignment="1">
      <alignment horizontal="center"/>
      <protection/>
    </xf>
    <xf numFmtId="49" fontId="7" fillId="0" borderId="20" xfId="265" applyNumberFormat="1" applyFont="1" applyFill="1" applyBorder="1" applyAlignment="1">
      <alignment horizontal="left"/>
      <protection/>
    </xf>
    <xf numFmtId="3" fontId="5" fillId="44" borderId="20" xfId="265" applyNumberFormat="1" applyFont="1" applyFill="1" applyBorder="1" applyAlignment="1">
      <alignment horizontal="center" vertical="center" wrapText="1"/>
      <protection/>
    </xf>
    <xf numFmtId="3" fontId="5" fillId="0" borderId="20" xfId="265" applyNumberFormat="1" applyFont="1" applyFill="1" applyBorder="1" applyAlignment="1">
      <alignment horizontal="center" vertical="center" wrapText="1"/>
      <protection/>
    </xf>
    <xf numFmtId="9" fontId="0" fillId="0" borderId="0" xfId="275" applyFont="1" applyFill="1" applyAlignment="1">
      <alignment/>
    </xf>
    <xf numFmtId="49" fontId="7" fillId="44" borderId="23" xfId="265" applyNumberFormat="1" applyFont="1" applyFill="1" applyBorder="1" applyAlignment="1">
      <alignment horizontal="center"/>
      <protection/>
    </xf>
    <xf numFmtId="49" fontId="7" fillId="44" borderId="20" xfId="265" applyNumberFormat="1" applyFont="1" applyFill="1" applyBorder="1" applyAlignment="1">
      <alignment horizontal="left"/>
      <protection/>
    </xf>
    <xf numFmtId="49" fontId="4" fillId="0" borderId="23" xfId="265" applyNumberFormat="1" applyFont="1" applyFill="1" applyBorder="1" applyAlignment="1">
      <alignment horizontal="center"/>
      <protection/>
    </xf>
    <xf numFmtId="49" fontId="4" fillId="47" borderId="20" xfId="265" applyNumberFormat="1" applyFont="1" applyFill="1" applyBorder="1" applyAlignment="1">
      <alignment horizontal="left"/>
      <protection/>
    </xf>
    <xf numFmtId="3" fontId="5" fillId="47" borderId="20" xfId="265" applyNumberFormat="1" applyFont="1" applyFill="1" applyBorder="1" applyAlignment="1">
      <alignment horizontal="center" vertical="center" wrapText="1"/>
      <protection/>
    </xf>
    <xf numFmtId="49" fontId="5" fillId="47" borderId="20" xfId="265" applyNumberFormat="1" applyFont="1" applyFill="1" applyBorder="1" applyAlignment="1">
      <alignment horizontal="left"/>
      <protection/>
    </xf>
    <xf numFmtId="49" fontId="6" fillId="0" borderId="19" xfId="265" applyNumberFormat="1" applyFont="1" applyFill="1" applyBorder="1" applyAlignment="1">
      <alignment horizontal="center"/>
      <protection/>
    </xf>
    <xf numFmtId="49" fontId="6" fillId="0" borderId="19" xfId="265" applyNumberFormat="1" applyFont="1" applyFill="1" applyBorder="1" applyAlignment="1">
      <alignment horizontal="left"/>
      <protection/>
    </xf>
    <xf numFmtId="3" fontId="5" fillId="0" borderId="19" xfId="265" applyNumberFormat="1" applyFont="1" applyFill="1" applyBorder="1" applyAlignment="1">
      <alignment horizontal="center" vertical="center" wrapText="1"/>
      <protection/>
    </xf>
    <xf numFmtId="49" fontId="15" fillId="0" borderId="0" xfId="265" applyNumberFormat="1" applyFont="1" applyFill="1" applyBorder="1" applyAlignment="1">
      <alignment vertical="center" wrapText="1"/>
      <protection/>
    </xf>
    <xf numFmtId="49" fontId="71" fillId="0" borderId="0" xfId="265" applyNumberFormat="1" applyFont="1" applyFill="1">
      <alignment/>
      <protection/>
    </xf>
    <xf numFmtId="49" fontId="4" fillId="0" borderId="0" xfId="265" applyNumberFormat="1" applyFont="1" applyFill="1">
      <alignment/>
      <protection/>
    </xf>
    <xf numFmtId="49" fontId="0" fillId="47" borderId="0" xfId="265" applyNumberFormat="1" applyFont="1" applyFill="1">
      <alignment/>
      <protection/>
    </xf>
    <xf numFmtId="49" fontId="3" fillId="47" borderId="0" xfId="265" applyNumberFormat="1" applyFont="1" applyFill="1" applyAlignment="1">
      <alignment horizontal="center"/>
      <protection/>
    </xf>
    <xf numFmtId="49" fontId="22" fillId="0" borderId="0" xfId="265" applyNumberFormat="1" applyFont="1" applyFill="1">
      <alignment/>
      <protection/>
    </xf>
    <xf numFmtId="49" fontId="3" fillId="0" borderId="0" xfId="265" applyNumberFormat="1" applyFont="1" applyFill="1">
      <alignment/>
      <protection/>
    </xf>
    <xf numFmtId="49" fontId="13" fillId="0" borderId="0" xfId="265" applyNumberFormat="1" applyFont="1" applyFill="1" applyAlignment="1">
      <alignment/>
      <protection/>
    </xf>
    <xf numFmtId="49" fontId="13" fillId="0" borderId="0" xfId="265" applyNumberFormat="1" applyFont="1" applyFill="1" applyAlignment="1">
      <alignment wrapText="1"/>
      <protection/>
    </xf>
    <xf numFmtId="49" fontId="13" fillId="0" borderId="0" xfId="265" applyNumberFormat="1" applyFont="1" applyFill="1" applyAlignment="1">
      <alignment horizontal="left" wrapText="1"/>
      <protection/>
    </xf>
    <xf numFmtId="49" fontId="0" fillId="0" borderId="0" xfId="265" applyNumberFormat="1" applyAlignment="1">
      <alignment horizontal="left"/>
      <protection/>
    </xf>
    <xf numFmtId="49" fontId="0" fillId="0" borderId="0" xfId="265" applyNumberFormat="1" applyFont="1" applyBorder="1" applyAlignment="1">
      <alignment horizontal="left"/>
      <protection/>
    </xf>
    <xf numFmtId="49" fontId="13" fillId="0" borderId="20" xfId="265" applyNumberFormat="1" applyFont="1" applyBorder="1" applyAlignment="1">
      <alignment horizontal="center"/>
      <protection/>
    </xf>
    <xf numFmtId="3" fontId="4" fillId="4" borderId="20" xfId="266" applyNumberFormat="1" applyFont="1" applyFill="1" applyBorder="1" applyAlignment="1">
      <alignment horizontal="center" vertical="center"/>
      <protection/>
    </xf>
    <xf numFmtId="3" fontId="33" fillId="47" borderId="20" xfId="265" applyNumberFormat="1" applyFont="1" applyFill="1" applyBorder="1" applyAlignment="1">
      <alignment horizontal="center" vertical="center"/>
      <protection/>
    </xf>
    <xf numFmtId="3" fontId="17" fillId="3" borderId="20" xfId="265" applyNumberFormat="1" applyFont="1" applyFill="1" applyBorder="1" applyAlignment="1">
      <alignment horizontal="center" vertical="center"/>
      <protection/>
    </xf>
    <xf numFmtId="3" fontId="35" fillId="3" borderId="20" xfId="265" applyNumberFormat="1" applyFont="1" applyFill="1" applyBorder="1" applyAlignment="1">
      <alignment horizontal="center" vertical="center"/>
      <protection/>
    </xf>
    <xf numFmtId="3" fontId="7" fillId="44" borderId="20" xfId="265" applyNumberFormat="1" applyFont="1" applyFill="1" applyBorder="1" applyAlignment="1">
      <alignment horizontal="center" vertical="center"/>
      <protection/>
    </xf>
    <xf numFmtId="3" fontId="7" fillId="44" borderId="20" xfId="265" applyNumberFormat="1" applyFont="1" applyFill="1" applyBorder="1" applyAlignment="1">
      <alignment horizontal="center" vertical="center"/>
      <protection/>
    </xf>
    <xf numFmtId="3" fontId="7" fillId="4" borderId="20" xfId="266" applyNumberFormat="1" applyFont="1" applyFill="1" applyBorder="1" applyAlignment="1">
      <alignment horizontal="center" vertical="center"/>
      <protection/>
    </xf>
    <xf numFmtId="49" fontId="7" fillId="0" borderId="20" xfId="265" applyNumberFormat="1" applyFont="1" applyBorder="1" applyAlignment="1">
      <alignment horizontal="center" vertical="center"/>
      <protection/>
    </xf>
    <xf numFmtId="49" fontId="7" fillId="47" borderId="20" xfId="265" applyNumberFormat="1" applyFont="1" applyFill="1" applyBorder="1" applyAlignment="1">
      <alignment horizontal="left" vertical="center"/>
      <protection/>
    </xf>
    <xf numFmtId="3" fontId="4" fillId="47" borderId="20" xfId="265" applyNumberFormat="1" applyFont="1" applyFill="1" applyBorder="1" applyAlignment="1">
      <alignment horizontal="center" vertical="center"/>
      <protection/>
    </xf>
    <xf numFmtId="3" fontId="4" fillId="44" borderId="20" xfId="265" applyNumberFormat="1" applyFont="1" applyFill="1" applyBorder="1" applyAlignment="1">
      <alignment horizontal="center" vertical="center"/>
      <protection/>
    </xf>
    <xf numFmtId="49" fontId="4" fillId="0" borderId="23" xfId="265" applyNumberFormat="1" applyFont="1" applyBorder="1" applyAlignment="1">
      <alignment horizontal="center" vertical="center"/>
      <protection/>
    </xf>
    <xf numFmtId="49" fontId="0" fillId="0" borderId="0" xfId="265" applyNumberFormat="1" applyFont="1" applyAlignment="1">
      <alignment vertical="center"/>
      <protection/>
    </xf>
    <xf numFmtId="3" fontId="4" fillId="0" borderId="20" xfId="265" applyNumberFormat="1" applyFont="1" applyFill="1" applyBorder="1" applyAlignment="1">
      <alignment horizontal="center" vertical="center"/>
      <protection/>
    </xf>
    <xf numFmtId="3" fontId="4" fillId="47" borderId="20" xfId="266" applyNumberFormat="1" applyFont="1" applyFill="1" applyBorder="1" applyAlignment="1">
      <alignment horizontal="center" vertical="center"/>
      <protection/>
    </xf>
    <xf numFmtId="49" fontId="4" fillId="47" borderId="23" xfId="265" applyNumberFormat="1" applyFont="1" applyFill="1" applyBorder="1" applyAlignment="1">
      <alignment horizontal="center" vertical="center"/>
      <protection/>
    </xf>
    <xf numFmtId="9" fontId="20" fillId="0" borderId="0" xfId="275" applyFont="1" applyAlignment="1">
      <alignment vertical="center"/>
    </xf>
    <xf numFmtId="49" fontId="4" fillId="0" borderId="0" xfId="265" applyNumberFormat="1" applyFont="1" applyBorder="1" applyAlignment="1">
      <alignment horizontal="center"/>
      <protection/>
    </xf>
    <xf numFmtId="49" fontId="4" fillId="47" borderId="0" xfId="265" applyNumberFormat="1" applyFont="1" applyFill="1" applyBorder="1" applyAlignment="1">
      <alignment horizontal="left"/>
      <protection/>
    </xf>
    <xf numFmtId="49" fontId="0" fillId="0" borderId="0" xfId="265" applyNumberFormat="1" applyFont="1" applyFill="1" applyBorder="1" applyAlignment="1">
      <alignment horizontal="center"/>
      <protection/>
    </xf>
    <xf numFmtId="3" fontId="4" fillId="47" borderId="19" xfId="266" applyNumberFormat="1" applyFont="1" applyFill="1" applyBorder="1" applyAlignment="1">
      <alignment horizontal="center" vertical="center"/>
      <protection/>
    </xf>
    <xf numFmtId="9" fontId="0" fillId="0" borderId="0" xfId="275" applyFont="1" applyAlignment="1">
      <alignment/>
    </xf>
    <xf numFmtId="49" fontId="29" fillId="0" borderId="0" xfId="265" applyNumberFormat="1" applyFont="1" applyBorder="1" applyAlignment="1">
      <alignment wrapText="1"/>
      <protection/>
    </xf>
    <xf numFmtId="3" fontId="4" fillId="47" borderId="0" xfId="266" applyNumberFormat="1" applyFont="1" applyFill="1" applyBorder="1" applyAlignment="1">
      <alignment horizontal="center" vertical="center"/>
      <protection/>
    </xf>
    <xf numFmtId="49" fontId="29" fillId="0" borderId="0" xfId="265" applyNumberFormat="1" applyFont="1" applyAlignment="1">
      <alignment wrapText="1"/>
      <protection/>
    </xf>
    <xf numFmtId="49" fontId="38" fillId="0" borderId="0" xfId="265" applyNumberFormat="1" applyFont="1">
      <alignment/>
      <protection/>
    </xf>
    <xf numFmtId="49" fontId="38" fillId="0" borderId="0" xfId="265" applyNumberFormat="1" applyFont="1" applyAlignment="1">
      <alignment wrapText="1"/>
      <protection/>
    </xf>
    <xf numFmtId="49" fontId="3" fillId="47" borderId="0" xfId="265" applyNumberFormat="1" applyFont="1" applyFill="1" applyAlignment="1">
      <alignment/>
      <protection/>
    </xf>
    <xf numFmtId="49" fontId="73" fillId="0" borderId="0" xfId="265" applyNumberFormat="1" applyFont="1">
      <alignment/>
      <protection/>
    </xf>
    <xf numFmtId="49" fontId="13" fillId="0" borderId="0" xfId="265" applyNumberFormat="1" applyFont="1" applyBorder="1" applyAlignment="1">
      <alignment wrapText="1"/>
      <protection/>
    </xf>
    <xf numFmtId="49" fontId="0" fillId="0" borderId="0" xfId="267" applyNumberFormat="1" applyFont="1" applyAlignment="1">
      <alignment horizontal="left"/>
      <protection/>
    </xf>
    <xf numFmtId="49" fontId="14" fillId="0" borderId="0" xfId="267" applyNumberFormat="1" applyFont="1" applyAlignment="1">
      <alignment wrapText="1"/>
      <protection/>
    </xf>
    <xf numFmtId="49" fontId="3" fillId="47" borderId="0" xfId="267" applyNumberFormat="1" applyFont="1" applyFill="1" applyBorder="1" applyAlignment="1">
      <alignment horizontal="left"/>
      <protection/>
    </xf>
    <xf numFmtId="49" fontId="0" fillId="47" borderId="0" xfId="267" applyNumberFormat="1" applyFont="1" applyFill="1" applyBorder="1" applyAlignment="1">
      <alignment horizontal="left"/>
      <protection/>
    </xf>
    <xf numFmtId="49" fontId="27" fillId="0" borderId="0" xfId="267" applyNumberFormat="1" applyFont="1">
      <alignment/>
      <protection/>
    </xf>
    <xf numFmtId="49" fontId="0" fillId="47" borderId="0" xfId="267" applyNumberFormat="1" applyFont="1" applyFill="1" applyBorder="1" applyAlignment="1">
      <alignment/>
      <protection/>
    </xf>
    <xf numFmtId="49" fontId="3" fillId="0" borderId="0" xfId="267" applyNumberFormat="1" applyFont="1" applyBorder="1" applyAlignment="1">
      <alignment horizontal="left"/>
      <protection/>
    </xf>
    <xf numFmtId="49" fontId="0" fillId="0" borderId="0" xfId="267" applyNumberFormat="1" applyFont="1" applyBorder="1" applyAlignment="1">
      <alignment horizontal="left"/>
      <protection/>
    </xf>
    <xf numFmtId="49" fontId="0" fillId="0" borderId="0" xfId="267" applyNumberFormat="1" applyFont="1" applyBorder="1" applyAlignment="1">
      <alignment/>
      <protection/>
    </xf>
    <xf numFmtId="49" fontId="18" fillId="0" borderId="22" xfId="267" applyNumberFormat="1" applyFont="1" applyBorder="1" applyAlignment="1">
      <alignment horizontal="left"/>
      <protection/>
    </xf>
    <xf numFmtId="49" fontId="3" fillId="0" borderId="22" xfId="267" applyNumberFormat="1" applyFont="1" applyBorder="1" applyAlignment="1">
      <alignment horizontal="left"/>
      <protection/>
    </xf>
    <xf numFmtId="49" fontId="27" fillId="0" borderId="0" xfId="267" applyNumberFormat="1" applyFont="1" applyFill="1">
      <alignment/>
      <protection/>
    </xf>
    <xf numFmtId="49" fontId="27" fillId="0" borderId="0" xfId="267" applyNumberFormat="1" applyFont="1" applyAlignment="1">
      <alignment vertical="center"/>
      <protection/>
    </xf>
    <xf numFmtId="49" fontId="6" fillId="47" borderId="20" xfId="267" applyNumberFormat="1" applyFont="1" applyFill="1" applyBorder="1" applyAlignment="1">
      <alignment horizontal="left" vertical="center"/>
      <protection/>
    </xf>
    <xf numFmtId="49" fontId="1" fillId="0" borderId="0" xfId="267" applyNumberFormat="1" applyFont="1">
      <alignment/>
      <protection/>
    </xf>
    <xf numFmtId="49" fontId="29" fillId="0" borderId="0" xfId="267" applyNumberFormat="1" applyFont="1" applyBorder="1" applyAlignment="1">
      <alignment/>
      <protection/>
    </xf>
    <xf numFmtId="49" fontId="80" fillId="0" borderId="0" xfId="267" applyNumberFormat="1" applyFont="1">
      <alignment/>
      <protection/>
    </xf>
    <xf numFmtId="49" fontId="25" fillId="0" borderId="0" xfId="267" applyNumberFormat="1" applyFont="1" applyBorder="1" applyAlignment="1">
      <alignment/>
      <protection/>
    </xf>
    <xf numFmtId="49" fontId="5" fillId="0" borderId="0" xfId="267" applyNumberFormat="1" applyFont="1">
      <alignment/>
      <protection/>
    </xf>
    <xf numFmtId="49" fontId="29" fillId="0" borderId="0" xfId="267" applyNumberFormat="1" applyFont="1" applyAlignment="1">
      <alignment horizontal="center"/>
      <protection/>
    </xf>
    <xf numFmtId="49" fontId="29" fillId="0" borderId="0" xfId="267" applyNumberFormat="1" applyFont="1">
      <alignment/>
      <protection/>
    </xf>
    <xf numFmtId="49" fontId="80" fillId="0" borderId="0" xfId="267" applyNumberFormat="1" applyFont="1" applyAlignment="1">
      <alignment horizontal="center"/>
      <protection/>
    </xf>
    <xf numFmtId="49" fontId="13" fillId="0" borderId="0" xfId="267" applyNumberFormat="1" applyFont="1" applyBorder="1" applyAlignment="1">
      <alignment wrapText="1"/>
      <protection/>
    </xf>
    <xf numFmtId="49" fontId="82" fillId="0" borderId="0" xfId="267" applyNumberFormat="1" applyFont="1">
      <alignment/>
      <protection/>
    </xf>
    <xf numFmtId="9" fontId="27" fillId="0" borderId="0" xfId="275" applyFont="1" applyAlignment="1">
      <alignment/>
    </xf>
    <xf numFmtId="3" fontId="0" fillId="47" borderId="0" xfId="267" applyNumberFormat="1" applyFont="1" applyFill="1" applyBorder="1" applyAlignment="1">
      <alignment/>
      <protection/>
    </xf>
    <xf numFmtId="0" fontId="27" fillId="0" borderId="0" xfId="267">
      <alignment/>
      <protection/>
    </xf>
    <xf numFmtId="0" fontId="0" fillId="0" borderId="0" xfId="267" applyFont="1" applyAlignment="1">
      <alignment horizontal="left"/>
      <protection/>
    </xf>
    <xf numFmtId="0" fontId="0" fillId="0" borderId="0" xfId="267" applyFont="1" applyBorder="1" applyAlignment="1">
      <alignment/>
      <protection/>
    </xf>
    <xf numFmtId="0" fontId="0" fillId="0" borderId="0" xfId="267" applyFont="1" applyBorder="1" applyAlignment="1">
      <alignment horizontal="left"/>
      <protection/>
    </xf>
    <xf numFmtId="0" fontId="27" fillId="0" borderId="0" xfId="267" applyFont="1">
      <alignment/>
      <protection/>
    </xf>
    <xf numFmtId="0" fontId="6" fillId="0" borderId="20" xfId="267" applyFont="1" applyBorder="1" applyAlignment="1">
      <alignment horizontal="center" vertical="center"/>
      <protection/>
    </xf>
    <xf numFmtId="0" fontId="6" fillId="47" borderId="20" xfId="267" applyFont="1" applyFill="1" applyBorder="1" applyAlignment="1">
      <alignment horizontal="left" vertical="center"/>
      <protection/>
    </xf>
    <xf numFmtId="9" fontId="27" fillId="0" borderId="0" xfId="275" applyFont="1" applyAlignment="1">
      <alignment vertical="center"/>
    </xf>
    <xf numFmtId="0" fontId="5" fillId="0" borderId="23" xfId="267" applyFont="1" applyBorder="1" applyAlignment="1">
      <alignment horizontal="center" vertical="center"/>
      <protection/>
    </xf>
    <xf numFmtId="0" fontId="27" fillId="0" borderId="0" xfId="267" applyFont="1" applyAlignment="1">
      <alignment vertical="center"/>
      <protection/>
    </xf>
    <xf numFmtId="0" fontId="1" fillId="0" borderId="0" xfId="267" applyFont="1">
      <alignment/>
      <protection/>
    </xf>
    <xf numFmtId="0" fontId="25" fillId="0" borderId="0" xfId="267" applyFont="1" applyBorder="1" applyAlignment="1">
      <alignment horizontal="center" wrapText="1"/>
      <protection/>
    </xf>
    <xf numFmtId="0" fontId="29" fillId="0" borderId="0" xfId="267" applyFont="1" applyBorder="1" applyAlignment="1">
      <alignment wrapText="1"/>
      <protection/>
    </xf>
    <xf numFmtId="0" fontId="25" fillId="0" borderId="0" xfId="267" applyNumberFormat="1" applyFont="1" applyBorder="1" applyAlignment="1">
      <alignment/>
      <protection/>
    </xf>
    <xf numFmtId="0" fontId="80" fillId="0" borderId="0" xfId="267" applyFont="1">
      <alignment/>
      <protection/>
    </xf>
    <xf numFmtId="0" fontId="25" fillId="0" borderId="0" xfId="267" applyNumberFormat="1" applyFont="1" applyBorder="1" applyAlignment="1">
      <alignment horizontal="center"/>
      <protection/>
    </xf>
    <xf numFmtId="0" fontId="5" fillId="0" borderId="0" xfId="267" applyFont="1">
      <alignment/>
      <protection/>
    </xf>
    <xf numFmtId="0" fontId="29" fillId="0" borderId="0" xfId="267" applyFont="1">
      <alignment/>
      <protection/>
    </xf>
    <xf numFmtId="0" fontId="25" fillId="0" borderId="0" xfId="265" applyFont="1" applyAlignment="1">
      <alignment/>
      <protection/>
    </xf>
    <xf numFmtId="49" fontId="19" fillId="0" borderId="0" xfId="267" applyNumberFormat="1" applyFont="1">
      <alignment/>
      <protection/>
    </xf>
    <xf numFmtId="49" fontId="4" fillId="47" borderId="0" xfId="267" applyNumberFormat="1" applyFont="1" applyFill="1" applyBorder="1" applyAlignment="1">
      <alignment horizontal="left"/>
      <protection/>
    </xf>
    <xf numFmtId="49" fontId="4" fillId="0" borderId="0" xfId="267" applyNumberFormat="1" applyFont="1" applyBorder="1" applyAlignment="1">
      <alignment horizontal="left"/>
      <protection/>
    </xf>
    <xf numFmtId="49" fontId="0" fillId="0" borderId="22" xfId="267" applyNumberFormat="1" applyFont="1" applyBorder="1" applyAlignment="1">
      <alignment/>
      <protection/>
    </xf>
    <xf numFmtId="49" fontId="6" fillId="0" borderId="20" xfId="267" applyNumberFormat="1" applyFont="1" applyFill="1" applyBorder="1" applyAlignment="1">
      <alignment horizontal="center" vertical="center" wrapText="1"/>
      <protection/>
    </xf>
    <xf numFmtId="49" fontId="5" fillId="0" borderId="24" xfId="267" applyNumberFormat="1" applyFont="1" applyFill="1" applyBorder="1">
      <alignment/>
      <protection/>
    </xf>
    <xf numFmtId="49" fontId="5" fillId="0" borderId="0" xfId="267" applyNumberFormat="1" applyFont="1" applyFill="1">
      <alignment/>
      <protection/>
    </xf>
    <xf numFmtId="49" fontId="24" fillId="0" borderId="0" xfId="267" applyNumberFormat="1" applyFont="1" applyFill="1">
      <alignment/>
      <protection/>
    </xf>
    <xf numFmtId="49" fontId="6" fillId="0" borderId="25" xfId="267" applyNumberFormat="1" applyFont="1" applyFill="1" applyBorder="1" applyAlignment="1">
      <alignment horizontal="center" vertical="center" wrapText="1"/>
      <protection/>
    </xf>
    <xf numFmtId="49" fontId="19" fillId="0" borderId="20" xfId="267" applyNumberFormat="1" applyFont="1" applyFill="1" applyBorder="1" applyAlignment="1">
      <alignment horizontal="center" vertical="center"/>
      <protection/>
    </xf>
    <xf numFmtId="49" fontId="19" fillId="0" borderId="20" xfId="267" applyNumberFormat="1" applyFont="1" applyBorder="1" applyAlignment="1">
      <alignment horizontal="center" vertical="center"/>
      <protection/>
    </xf>
    <xf numFmtId="49" fontId="5" fillId="0" borderId="0" xfId="267" applyNumberFormat="1" applyFont="1" applyAlignment="1">
      <alignment vertical="center"/>
      <protection/>
    </xf>
    <xf numFmtId="3" fontId="30" fillId="3" borderId="20" xfId="267" applyNumberFormat="1" applyFont="1" applyFill="1" applyBorder="1" applyAlignment="1">
      <alignment horizontal="center" vertical="center"/>
      <protection/>
    </xf>
    <xf numFmtId="3" fontId="70" fillId="3" borderId="20" xfId="267" applyNumberFormat="1" applyFont="1" applyFill="1" applyBorder="1" applyAlignment="1">
      <alignment horizontal="center" vertical="center"/>
      <protection/>
    </xf>
    <xf numFmtId="3" fontId="30" fillId="4" borderId="20" xfId="267" applyNumberFormat="1" applyFont="1" applyFill="1" applyBorder="1" applyAlignment="1">
      <alignment horizontal="center" vertical="center"/>
      <protection/>
    </xf>
    <xf numFmtId="3" fontId="6" fillId="44" borderId="20" xfId="267" applyNumberFormat="1" applyFont="1" applyFill="1" applyBorder="1" applyAlignment="1">
      <alignment horizontal="center" vertical="center"/>
      <protection/>
    </xf>
    <xf numFmtId="49" fontId="6" fillId="0" borderId="20" xfId="267" applyNumberFormat="1" applyFont="1" applyBorder="1" applyAlignment="1">
      <alignment horizontal="center" vertical="center"/>
      <protection/>
    </xf>
    <xf numFmtId="3" fontId="5" fillId="47" borderId="20" xfId="267" applyNumberFormat="1" applyFont="1" applyFill="1" applyBorder="1" applyAlignment="1">
      <alignment horizontal="center" vertical="center"/>
      <protection/>
    </xf>
    <xf numFmtId="49" fontId="6" fillId="0" borderId="23" xfId="267" applyNumberFormat="1" applyFont="1" applyBorder="1" applyAlignment="1">
      <alignment horizontal="center" vertical="center"/>
      <protection/>
    </xf>
    <xf numFmtId="49" fontId="5" fillId="0" borderId="23" xfId="267" applyNumberFormat="1" applyFont="1" applyBorder="1" applyAlignment="1">
      <alignment horizontal="center" vertical="center"/>
      <protection/>
    </xf>
    <xf numFmtId="3" fontId="5" fillId="0" borderId="20" xfId="267" applyNumberFormat="1" applyFont="1" applyBorder="1" applyAlignment="1">
      <alignment horizontal="center" vertical="center"/>
      <protection/>
    </xf>
    <xf numFmtId="49" fontId="88" fillId="0" borderId="0" xfId="267" applyNumberFormat="1" applyFont="1">
      <alignment/>
      <protection/>
    </xf>
    <xf numFmtId="49" fontId="27" fillId="0" borderId="0" xfId="267" applyNumberFormat="1">
      <alignment/>
      <protection/>
    </xf>
    <xf numFmtId="49" fontId="29" fillId="0" borderId="0" xfId="267" applyNumberFormat="1" applyFont="1" applyBorder="1" applyAlignment="1">
      <alignment wrapText="1"/>
      <protection/>
    </xf>
    <xf numFmtId="49" fontId="21" fillId="0" borderId="0" xfId="267" applyNumberFormat="1" applyFont="1">
      <alignment/>
      <protection/>
    </xf>
    <xf numFmtId="49" fontId="32" fillId="0" borderId="0" xfId="267" applyNumberFormat="1" applyFont="1">
      <alignment/>
      <protection/>
    </xf>
    <xf numFmtId="49" fontId="32" fillId="0" borderId="0" xfId="267" applyNumberFormat="1" applyFont="1" applyAlignment="1">
      <alignment horizontal="center"/>
      <protection/>
    </xf>
    <xf numFmtId="0" fontId="4" fillId="0" borderId="0" xfId="267" applyNumberFormat="1" applyFont="1" applyAlignment="1">
      <alignment horizontal="left"/>
      <protection/>
    </xf>
    <xf numFmtId="0" fontId="5" fillId="0" borderId="0" xfId="267" applyFont="1" applyAlignment="1">
      <alignment/>
      <protection/>
    </xf>
    <xf numFmtId="3" fontId="5" fillId="0" borderId="0" xfId="267" applyNumberFormat="1" applyFont="1">
      <alignment/>
      <protection/>
    </xf>
    <xf numFmtId="0" fontId="7" fillId="0" borderId="0" xfId="267" applyFont="1" applyBorder="1" applyAlignment="1">
      <alignment/>
      <protection/>
    </xf>
    <xf numFmtId="0" fontId="27" fillId="0" borderId="24" xfId="267" applyFont="1" applyBorder="1">
      <alignment/>
      <protection/>
    </xf>
    <xf numFmtId="0" fontId="27" fillId="0" borderId="0" xfId="267" applyFont="1" applyBorder="1">
      <alignment/>
      <protection/>
    </xf>
    <xf numFmtId="0" fontId="12" fillId="0" borderId="20" xfId="267" applyFont="1" applyBorder="1" applyAlignment="1">
      <alignment horizontal="center" vertical="center" wrapText="1"/>
      <protection/>
    </xf>
    <xf numFmtId="0" fontId="19" fillId="0" borderId="23" xfId="267" applyFont="1" applyFill="1" applyBorder="1" applyAlignment="1">
      <alignment horizontal="center" vertical="center"/>
      <protection/>
    </xf>
    <xf numFmtId="0" fontId="19" fillId="0" borderId="20" xfId="267" applyFont="1" applyFill="1" applyBorder="1" applyAlignment="1">
      <alignment horizontal="center" vertical="center"/>
      <protection/>
    </xf>
    <xf numFmtId="0" fontId="19" fillId="0" borderId="20" xfId="267" applyFont="1" applyBorder="1" applyAlignment="1">
      <alignment horizontal="center" vertical="center"/>
      <protection/>
    </xf>
    <xf numFmtId="3" fontId="20" fillId="3" borderId="20" xfId="267" applyNumberFormat="1" applyFont="1" applyFill="1" applyBorder="1" applyAlignment="1">
      <alignment horizontal="center" vertical="center"/>
      <protection/>
    </xf>
    <xf numFmtId="3" fontId="36" fillId="3" borderId="20" xfId="267" applyNumberFormat="1" applyFont="1" applyFill="1" applyBorder="1" applyAlignment="1">
      <alignment horizontal="center" vertical="center"/>
      <protection/>
    </xf>
    <xf numFmtId="3" fontId="3" fillId="44" borderId="23" xfId="267" applyNumberFormat="1" applyFont="1" applyFill="1" applyBorder="1" applyAlignment="1">
      <alignment horizontal="center" vertical="center"/>
      <protection/>
    </xf>
    <xf numFmtId="3" fontId="0" fillId="48" borderId="23" xfId="267" applyNumberFormat="1" applyFont="1" applyFill="1" applyBorder="1" applyAlignment="1">
      <alignment horizontal="center" vertical="center"/>
      <protection/>
    </xf>
    <xf numFmtId="3" fontId="0" fillId="0" borderId="20" xfId="267" applyNumberFormat="1" applyFont="1" applyBorder="1" applyAlignment="1">
      <alignment horizontal="center" vertical="center"/>
      <protection/>
    </xf>
    <xf numFmtId="3" fontId="0" fillId="0" borderId="26" xfId="267" applyNumberFormat="1" applyFont="1" applyBorder="1" applyAlignment="1">
      <alignment horizontal="center" vertical="center"/>
      <protection/>
    </xf>
    <xf numFmtId="0" fontId="6" fillId="0" borderId="23" xfId="267" applyFont="1" applyBorder="1" applyAlignment="1">
      <alignment horizontal="center" vertical="center"/>
      <protection/>
    </xf>
    <xf numFmtId="3" fontId="0" fillId="44" borderId="23" xfId="267" applyNumberFormat="1" applyFont="1" applyFill="1" applyBorder="1" applyAlignment="1">
      <alignment horizontal="center" vertical="center"/>
      <protection/>
    </xf>
    <xf numFmtId="3" fontId="0" fillId="47" borderId="20" xfId="267" applyNumberFormat="1" applyFont="1" applyFill="1" applyBorder="1" applyAlignment="1">
      <alignment horizontal="center" vertical="center"/>
      <protection/>
    </xf>
    <xf numFmtId="3" fontId="0" fillId="47" borderId="26" xfId="267" applyNumberFormat="1" applyFont="1" applyFill="1" applyBorder="1" applyAlignment="1">
      <alignment horizontal="center" vertical="center"/>
      <protection/>
    </xf>
    <xf numFmtId="0" fontId="29" fillId="0" borderId="0" xfId="267" applyNumberFormat="1" applyFont="1" applyBorder="1" applyAlignment="1">
      <alignment/>
      <protection/>
    </xf>
    <xf numFmtId="0" fontId="89" fillId="0" borderId="0" xfId="267" applyFont="1">
      <alignment/>
      <protection/>
    </xf>
    <xf numFmtId="0" fontId="16" fillId="0" borderId="0" xfId="267" applyFont="1">
      <alignment/>
      <protection/>
    </xf>
    <xf numFmtId="0" fontId="28" fillId="0" borderId="0" xfId="267" applyFont="1">
      <alignment/>
      <protection/>
    </xf>
    <xf numFmtId="0" fontId="13" fillId="0" borderId="0" xfId="267" applyFont="1">
      <alignment/>
      <protection/>
    </xf>
    <xf numFmtId="49" fontId="13" fillId="0" borderId="0" xfId="267" applyNumberFormat="1" applyFont="1">
      <alignment/>
      <protection/>
    </xf>
    <xf numFmtId="0" fontId="82" fillId="0" borderId="0" xfId="267" applyFont="1">
      <alignment/>
      <protection/>
    </xf>
    <xf numFmtId="49" fontId="18" fillId="0" borderId="0" xfId="267" applyNumberFormat="1" applyFont="1" applyBorder="1" applyAlignment="1">
      <alignment/>
      <protection/>
    </xf>
    <xf numFmtId="49" fontId="27" fillId="0" borderId="0" xfId="267" applyNumberFormat="1" applyFont="1" applyAlignment="1">
      <alignment horizontal="center"/>
      <protection/>
    </xf>
    <xf numFmtId="3" fontId="19" fillId="47" borderId="22" xfId="267" applyNumberFormat="1" applyFont="1" applyFill="1" applyBorder="1" applyAlignment="1">
      <alignment horizontal="center"/>
      <protection/>
    </xf>
    <xf numFmtId="49" fontId="5" fillId="0" borderId="22" xfId="267" applyNumberFormat="1" applyFont="1" applyBorder="1" applyAlignment="1">
      <alignment/>
      <protection/>
    </xf>
    <xf numFmtId="49" fontId="27" fillId="0" borderId="0" xfId="267" applyNumberFormat="1" applyFill="1">
      <alignment/>
      <protection/>
    </xf>
    <xf numFmtId="49" fontId="27" fillId="0" borderId="0" xfId="267" applyNumberFormat="1" applyFill="1" applyAlignment="1">
      <alignment vertical="center" wrapText="1"/>
      <protection/>
    </xf>
    <xf numFmtId="49" fontId="27" fillId="0" borderId="0" xfId="267" applyNumberFormat="1" applyAlignment="1">
      <alignment vertical="center"/>
      <protection/>
    </xf>
    <xf numFmtId="3" fontId="5" fillId="44" borderId="20" xfId="267" applyNumberFormat="1" applyFont="1" applyFill="1" applyBorder="1" applyAlignment="1">
      <alignment horizontal="center" vertical="center"/>
      <protection/>
    </xf>
    <xf numFmtId="3" fontId="27" fillId="0" borderId="20" xfId="267" applyNumberFormat="1" applyFont="1" applyBorder="1" applyAlignment="1">
      <alignment horizontal="center" vertical="center"/>
      <protection/>
    </xf>
    <xf numFmtId="0" fontId="5" fillId="0" borderId="20" xfId="267" applyFont="1" applyBorder="1" applyAlignment="1">
      <alignment horizontal="center" vertical="center"/>
      <protection/>
    </xf>
    <xf numFmtId="3" fontId="5" fillId="0" borderId="20" xfId="267" applyNumberFormat="1" applyFont="1" applyFill="1" applyBorder="1" applyAlignment="1">
      <alignment horizontal="center" vertical="center"/>
      <protection/>
    </xf>
    <xf numFmtId="3" fontId="27" fillId="0" borderId="20" xfId="267" applyNumberFormat="1" applyFont="1" applyFill="1" applyBorder="1" applyAlignment="1">
      <alignment horizontal="center" vertical="center"/>
      <protection/>
    </xf>
    <xf numFmtId="49" fontId="27" fillId="0" borderId="0" xfId="267" applyNumberFormat="1" applyAlignment="1">
      <alignment horizontal="center"/>
      <protection/>
    </xf>
    <xf numFmtId="49" fontId="73" fillId="0" borderId="0" xfId="267" applyNumberFormat="1" applyFont="1" applyAlignment="1">
      <alignment horizontal="left"/>
      <protection/>
    </xf>
    <xf numFmtId="49" fontId="32" fillId="0" borderId="0" xfId="267" applyNumberFormat="1" applyFont="1" applyAlignment="1">
      <alignment/>
      <protection/>
    </xf>
    <xf numFmtId="49" fontId="3" fillId="47" borderId="0" xfId="267" applyNumberFormat="1" applyFont="1" applyFill="1" applyBorder="1" applyAlignment="1">
      <alignment/>
      <protection/>
    </xf>
    <xf numFmtId="49" fontId="3" fillId="0" borderId="0" xfId="267" applyNumberFormat="1" applyFont="1" applyAlignment="1">
      <alignment/>
      <protection/>
    </xf>
    <xf numFmtId="49" fontId="3" fillId="0" borderId="0" xfId="267" applyNumberFormat="1" applyFont="1" applyBorder="1" applyAlignment="1">
      <alignment/>
      <protection/>
    </xf>
    <xf numFmtId="49" fontId="6" fillId="0" borderId="22" xfId="267" applyNumberFormat="1" applyFont="1" applyBorder="1" applyAlignment="1">
      <alignment/>
      <protection/>
    </xf>
    <xf numFmtId="3" fontId="19" fillId="0" borderId="20" xfId="267" applyNumberFormat="1" applyFont="1" applyBorder="1" applyAlignment="1">
      <alignment horizontal="center" vertical="center"/>
      <protection/>
    </xf>
    <xf numFmtId="49" fontId="27" fillId="47" borderId="0" xfId="267" applyNumberFormat="1" applyFont="1" applyFill="1" applyAlignment="1">
      <alignment vertical="center"/>
      <protection/>
    </xf>
    <xf numFmtId="3" fontId="27" fillId="47" borderId="20" xfId="267" applyNumberFormat="1" applyFont="1" applyFill="1" applyBorder="1" applyAlignment="1">
      <alignment horizontal="center" vertical="center"/>
      <protection/>
    </xf>
    <xf numFmtId="3" fontId="92" fillId="0" borderId="20" xfId="267" applyNumberFormat="1" applyFont="1" applyBorder="1" applyAlignment="1">
      <alignment horizontal="center" vertical="center"/>
      <protection/>
    </xf>
    <xf numFmtId="0" fontId="5" fillId="0" borderId="19" xfId="267" applyFont="1" applyFill="1" applyBorder="1" applyAlignment="1">
      <alignment horizontal="center" vertical="center"/>
      <protection/>
    </xf>
    <xf numFmtId="49" fontId="6" fillId="0" borderId="19" xfId="265" applyNumberFormat="1" applyFont="1" applyFill="1" applyBorder="1" applyAlignment="1">
      <alignment horizontal="left" vertical="center"/>
      <protection/>
    </xf>
    <xf numFmtId="3" fontId="5" fillId="0" borderId="19" xfId="267" applyNumberFormat="1" applyFont="1" applyFill="1" applyBorder="1" applyAlignment="1">
      <alignment horizontal="center" vertical="center"/>
      <protection/>
    </xf>
    <xf numFmtId="3" fontId="19" fillId="0" borderId="19" xfId="267" applyNumberFormat="1" applyFont="1" applyFill="1" applyBorder="1" applyAlignment="1">
      <alignment horizontal="center" vertical="center"/>
      <protection/>
    </xf>
    <xf numFmtId="3" fontId="27" fillId="0" borderId="19" xfId="267" applyNumberFormat="1" applyFont="1" applyFill="1" applyBorder="1" applyAlignment="1">
      <alignment vertical="center"/>
      <protection/>
    </xf>
    <xf numFmtId="3" fontId="93" fillId="0" borderId="19" xfId="267" applyNumberFormat="1" applyFont="1" applyFill="1" applyBorder="1" applyAlignment="1">
      <alignment vertical="center"/>
      <protection/>
    </xf>
    <xf numFmtId="49" fontId="32" fillId="0" borderId="0" xfId="267" applyNumberFormat="1" applyFont="1" applyBorder="1" applyAlignment="1">
      <alignment/>
      <protection/>
    </xf>
    <xf numFmtId="49" fontId="29" fillId="0" borderId="0" xfId="267" applyNumberFormat="1" applyFont="1" applyBorder="1" applyAlignment="1">
      <alignment horizontal="center"/>
      <protection/>
    </xf>
    <xf numFmtId="49" fontId="29" fillId="0" borderId="0" xfId="267" applyNumberFormat="1" applyFont="1" applyAlignment="1">
      <alignment/>
      <protection/>
    </xf>
    <xf numFmtId="0" fontId="5" fillId="47" borderId="0" xfId="267" applyFont="1" applyFill="1" applyBorder="1" applyAlignment="1">
      <alignment/>
      <protection/>
    </xf>
    <xf numFmtId="49" fontId="94" fillId="0" borderId="0" xfId="267" applyNumberFormat="1" applyFont="1">
      <alignment/>
      <protection/>
    </xf>
    <xf numFmtId="49" fontId="95" fillId="0" borderId="0" xfId="267" applyNumberFormat="1" applyFont="1">
      <alignment/>
      <protection/>
    </xf>
    <xf numFmtId="49" fontId="96" fillId="0" borderId="0" xfId="267" applyNumberFormat="1" applyFont="1" applyAlignment="1">
      <alignment horizontal="center"/>
      <protection/>
    </xf>
    <xf numFmtId="49" fontId="25" fillId="47" borderId="0" xfId="265" applyNumberFormat="1" applyFont="1" applyFill="1" applyAlignment="1">
      <alignment/>
      <protection/>
    </xf>
    <xf numFmtId="49" fontId="81" fillId="0" borderId="0" xfId="267" applyNumberFormat="1" applyFont="1">
      <alignment/>
      <protection/>
    </xf>
    <xf numFmtId="49" fontId="32" fillId="0" borderId="0" xfId="267" applyNumberFormat="1" applyFont="1" applyBorder="1" applyAlignment="1">
      <alignment wrapText="1"/>
      <protection/>
    </xf>
    <xf numFmtId="49" fontId="84" fillId="0" borderId="0" xfId="267" applyNumberFormat="1" applyFont="1">
      <alignment/>
      <protection/>
    </xf>
    <xf numFmtId="49" fontId="79" fillId="0" borderId="0" xfId="267" applyNumberFormat="1" applyFont="1">
      <alignment/>
      <protection/>
    </xf>
    <xf numFmtId="49" fontId="14" fillId="0" borderId="0" xfId="267" applyNumberFormat="1" applyFont="1" applyFill="1" applyAlignment="1">
      <alignment wrapText="1"/>
      <protection/>
    </xf>
    <xf numFmtId="49" fontId="0" fillId="0" borderId="0" xfId="267" applyNumberFormat="1" applyFont="1" applyFill="1" applyBorder="1" applyAlignment="1">
      <alignment/>
      <protection/>
    </xf>
    <xf numFmtId="49" fontId="3" fillId="0" borderId="0" xfId="267" applyNumberFormat="1" applyFont="1" applyFill="1" applyBorder="1" applyAlignment="1">
      <alignment/>
      <protection/>
    </xf>
    <xf numFmtId="49" fontId="97" fillId="0" borderId="0" xfId="267" applyNumberFormat="1" applyFont="1" applyFill="1">
      <alignment/>
      <protection/>
    </xf>
    <xf numFmtId="49" fontId="27" fillId="0" borderId="0" xfId="267" applyNumberFormat="1" applyFont="1" applyFill="1" applyAlignment="1">
      <alignment horizontal="center"/>
      <protection/>
    </xf>
    <xf numFmtId="49" fontId="19" fillId="0" borderId="0" xfId="267" applyNumberFormat="1" applyFont="1" applyFill="1" applyBorder="1" applyAlignment="1">
      <alignment/>
      <protection/>
    </xf>
    <xf numFmtId="49" fontId="6" fillId="0" borderId="0" xfId="267" applyNumberFormat="1" applyFont="1" applyFill="1" applyBorder="1" applyAlignment="1">
      <alignment/>
      <protection/>
    </xf>
    <xf numFmtId="49" fontId="83" fillId="0" borderId="0" xfId="267" applyNumberFormat="1" applyFont="1" applyFill="1">
      <alignment/>
      <protection/>
    </xf>
    <xf numFmtId="49" fontId="83" fillId="0" borderId="0" xfId="267" applyNumberFormat="1" applyFont="1" applyFill="1" applyAlignment="1">
      <alignment/>
      <protection/>
    </xf>
    <xf numFmtId="49" fontId="19" fillId="0" borderId="27" xfId="267" applyNumberFormat="1" applyFont="1" applyFill="1" applyBorder="1" applyAlignment="1">
      <alignment horizontal="center" vertical="center"/>
      <protection/>
    </xf>
    <xf numFmtId="3" fontId="6" fillId="44" borderId="27" xfId="267" applyNumberFormat="1" applyFont="1" applyFill="1" applyBorder="1" applyAlignment="1">
      <alignment horizontal="center" vertical="center"/>
      <protection/>
    </xf>
    <xf numFmtId="3" fontId="6" fillId="44" borderId="23" xfId="267" applyNumberFormat="1" applyFont="1" applyFill="1" applyBorder="1" applyAlignment="1">
      <alignment horizontal="center" vertical="center"/>
      <protection/>
    </xf>
    <xf numFmtId="49" fontId="3" fillId="0" borderId="0" xfId="267" applyNumberFormat="1" applyFont="1" applyAlignment="1">
      <alignment horizontal="center"/>
      <protection/>
    </xf>
    <xf numFmtId="49" fontId="25" fillId="0" borderId="0" xfId="267" applyNumberFormat="1" applyFont="1">
      <alignment/>
      <protection/>
    </xf>
    <xf numFmtId="49" fontId="3" fillId="0" borderId="0" xfId="267" applyNumberFormat="1" applyFont="1">
      <alignment/>
      <protection/>
    </xf>
    <xf numFmtId="49" fontId="29" fillId="0" borderId="0" xfId="267" applyNumberFormat="1" applyFont="1">
      <alignment/>
      <protection/>
    </xf>
    <xf numFmtId="3" fontId="3" fillId="47" borderId="0" xfId="267" applyNumberFormat="1" applyFont="1" applyFill="1" applyBorder="1" applyAlignment="1">
      <alignment/>
      <protection/>
    </xf>
    <xf numFmtId="0" fontId="3" fillId="0" borderId="0" xfId="267" applyFont="1">
      <alignment/>
      <protection/>
    </xf>
    <xf numFmtId="0" fontId="4" fillId="0" borderId="0" xfId="267" applyFont="1" applyBorder="1" applyAlignment="1">
      <alignment horizontal="left"/>
      <protection/>
    </xf>
    <xf numFmtId="3" fontId="0" fillId="0" borderId="0" xfId="267" applyNumberFormat="1" applyFont="1" applyAlignment="1">
      <alignment horizontal="left"/>
      <protection/>
    </xf>
    <xf numFmtId="0" fontId="13" fillId="0" borderId="0" xfId="267" applyFont="1" applyBorder="1" applyAlignment="1">
      <alignment/>
      <protection/>
    </xf>
    <xf numFmtId="0" fontId="7" fillId="0" borderId="20" xfId="267" applyFont="1" applyFill="1" applyBorder="1" applyAlignment="1">
      <alignment horizontal="center" vertical="center" wrapText="1"/>
      <protection/>
    </xf>
    <xf numFmtId="0" fontId="3" fillId="0" borderId="0" xfId="267" applyFont="1" applyFill="1" applyBorder="1">
      <alignment/>
      <protection/>
    </xf>
    <xf numFmtId="0" fontId="3" fillId="0" borderId="0" xfId="267" applyFont="1" applyFill="1">
      <alignment/>
      <protection/>
    </xf>
    <xf numFmtId="3" fontId="18" fillId="0" borderId="20" xfId="267" applyNumberFormat="1" applyFont="1" applyBorder="1" applyAlignment="1">
      <alignment horizontal="center" vertical="center"/>
      <protection/>
    </xf>
    <xf numFmtId="0" fontId="0" fillId="0" borderId="0" xfId="267" applyFont="1" applyAlignment="1">
      <alignment horizontal="center" vertical="center"/>
      <protection/>
    </xf>
    <xf numFmtId="3" fontId="4" fillId="44" borderId="20" xfId="267" applyNumberFormat="1" applyFont="1" applyFill="1" applyBorder="1" applyAlignment="1">
      <alignment horizontal="center" vertical="center"/>
      <protection/>
    </xf>
    <xf numFmtId="0" fontId="3" fillId="0" borderId="0" xfId="267" applyFont="1" applyAlignment="1">
      <alignment vertical="center"/>
      <protection/>
    </xf>
    <xf numFmtId="9" fontId="3" fillId="0" borderId="0" xfId="275" applyFont="1" applyAlignment="1">
      <alignment vertical="center"/>
    </xf>
    <xf numFmtId="0" fontId="3" fillId="0" borderId="0" xfId="267" applyFont="1" applyAlignment="1">
      <alignment horizontal="center"/>
      <protection/>
    </xf>
    <xf numFmtId="0" fontId="25" fillId="0" borderId="0" xfId="267" applyFont="1">
      <alignment/>
      <protection/>
    </xf>
    <xf numFmtId="0" fontId="73" fillId="0" borderId="0" xfId="267" applyFont="1" applyAlignment="1">
      <alignment horizontal="center"/>
      <protection/>
    </xf>
    <xf numFmtId="49" fontId="53" fillId="0" borderId="0" xfId="267" applyNumberFormat="1" applyFont="1">
      <alignment/>
      <protection/>
    </xf>
    <xf numFmtId="49" fontId="98" fillId="0" borderId="0" xfId="267" applyNumberFormat="1" applyFont="1" applyBorder="1" applyAlignment="1">
      <alignment wrapText="1"/>
      <protection/>
    </xf>
    <xf numFmtId="0" fontId="32" fillId="0" borderId="0" xfId="267"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26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26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26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9" fillId="47" borderId="20" xfId="0" applyNumberFormat="1" applyFont="1" applyFill="1" applyBorder="1" applyAlignment="1">
      <alignment/>
    </xf>
    <xf numFmtId="3" fontId="29" fillId="47" borderId="20" xfId="264" applyNumberFormat="1" applyFont="1" applyFill="1" applyBorder="1" applyAlignment="1" applyProtection="1">
      <alignment horizontal="center" vertical="center"/>
      <protection/>
    </xf>
    <xf numFmtId="49" fontId="32" fillId="47" borderId="20" xfId="0" applyNumberFormat="1" applyFont="1" applyFill="1" applyBorder="1" applyAlignment="1">
      <alignment/>
    </xf>
    <xf numFmtId="3" fontId="32" fillId="47" borderId="20" xfId="264" applyNumberFormat="1" applyFont="1" applyFill="1" applyBorder="1" applyAlignment="1" applyProtection="1">
      <alignment horizontal="center" vertical="center"/>
      <protection/>
    </xf>
    <xf numFmtId="49" fontId="29" fillId="47" borderId="20" xfId="0" applyNumberFormat="1" applyFont="1" applyFill="1" applyBorder="1" applyAlignment="1">
      <alignment/>
    </xf>
    <xf numFmtId="49" fontId="53" fillId="47" borderId="20" xfId="0" applyNumberFormat="1" applyFont="1" applyFill="1" applyBorder="1" applyAlignment="1">
      <alignment/>
    </xf>
    <xf numFmtId="3" fontId="53" fillId="47" borderId="20" xfId="264" applyNumberFormat="1" applyFont="1" applyFill="1" applyBorder="1" applyAlignment="1" applyProtection="1">
      <alignment horizontal="center" vertical="center"/>
      <protection/>
    </xf>
    <xf numFmtId="10" fontId="29" fillId="0" borderId="20" xfId="162" applyNumberFormat="1" applyFont="1" applyFill="1" applyBorder="1" applyAlignment="1">
      <alignment horizontal="center" vertical="center"/>
      <protection/>
    </xf>
    <xf numFmtId="10" fontId="53"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8" fillId="47" borderId="20" xfId="0" applyNumberFormat="1" applyFont="1" applyFill="1" applyBorder="1" applyAlignment="1">
      <alignment/>
    </xf>
    <xf numFmtId="10" fontId="58" fillId="0" borderId="20" xfId="162" applyNumberFormat="1" applyFont="1" applyFill="1" applyBorder="1" applyAlignment="1">
      <alignment horizontal="center" vertical="center"/>
      <protection/>
    </xf>
    <xf numFmtId="3" fontId="58" fillId="47" borderId="20" xfId="264" applyNumberFormat="1" applyFont="1" applyFill="1" applyBorder="1" applyAlignment="1" applyProtection="1">
      <alignment horizontal="center" vertical="center"/>
      <protection/>
    </xf>
    <xf numFmtId="49" fontId="101" fillId="47" borderId="20" xfId="0" applyNumberFormat="1" applyFont="1" applyFill="1" applyBorder="1" applyAlignment="1">
      <alignment/>
    </xf>
    <xf numFmtId="49" fontId="58" fillId="47" borderId="35" xfId="0" applyNumberFormat="1" applyFont="1" applyFill="1" applyBorder="1" applyAlignment="1">
      <alignment/>
    </xf>
    <xf numFmtId="3" fontId="58" fillId="47" borderId="19" xfId="264" applyNumberFormat="1" applyFont="1" applyFill="1" applyBorder="1" applyAlignment="1" applyProtection="1">
      <alignment horizontal="center" vertical="center"/>
      <protection/>
    </xf>
    <xf numFmtId="10" fontId="58"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264" applyNumberFormat="1" applyFont="1" applyFill="1" applyBorder="1" applyAlignment="1" applyProtection="1">
      <alignment horizontal="center" vertical="center"/>
      <protection/>
    </xf>
    <xf numFmtId="3" fontId="4" fillId="47" borderId="37" xfId="264"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49" fontId="4" fillId="0" borderId="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25" fillId="0" borderId="0" xfId="0" applyNumberFormat="1" applyFont="1" applyFill="1" applyAlignment="1">
      <alignment horizontal="center"/>
    </xf>
    <xf numFmtId="0" fontId="29" fillId="0" borderId="0" xfId="0" applyNumberFormat="1" applyFont="1" applyFill="1" applyAlignment="1">
      <alignment horizontal="left"/>
    </xf>
    <xf numFmtId="0" fontId="25" fillId="0" borderId="0" xfId="0" applyNumberFormat="1" applyFont="1" applyFill="1" applyAlignment="1">
      <alignment/>
    </xf>
    <xf numFmtId="0" fontId="20" fillId="49" borderId="20" xfId="0" applyFont="1" applyFill="1" applyBorder="1" applyAlignment="1">
      <alignment/>
    </xf>
    <xf numFmtId="0" fontId="0" fillId="49" borderId="20" xfId="0" applyFont="1" applyFill="1" applyBorder="1" applyAlignment="1">
      <alignment/>
    </xf>
    <xf numFmtId="49" fontId="4" fillId="0" borderId="0" xfId="0" applyNumberFormat="1" applyFont="1" applyFill="1" applyAlignment="1">
      <alignment horizontal="left"/>
    </xf>
    <xf numFmtId="49" fontId="13" fillId="0" borderId="0" xfId="0" applyNumberFormat="1" applyFont="1" applyFill="1" applyAlignment="1">
      <alignment horizontal="left"/>
    </xf>
    <xf numFmtId="0" fontId="25" fillId="0" borderId="0" xfId="0" applyNumberFormat="1" applyFont="1" applyFill="1" applyAlignment="1">
      <alignment horizontal="left"/>
    </xf>
    <xf numFmtId="0" fontId="29" fillId="0" borderId="0" xfId="0" applyNumberFormat="1" applyFont="1" applyFill="1" applyAlignment="1">
      <alignment horizontal="left" wrapText="1"/>
    </xf>
    <xf numFmtId="49" fontId="29" fillId="0" borderId="0" xfId="0" applyNumberFormat="1" applyFont="1" applyFill="1" applyAlignment="1">
      <alignment horizontal="left"/>
    </xf>
    <xf numFmtId="49" fontId="4" fillId="49" borderId="0" xfId="0" applyNumberFormat="1" applyFont="1" applyFill="1" applyAlignment="1">
      <alignment/>
    </xf>
    <xf numFmtId="49" fontId="31" fillId="0" borderId="39" xfId="0" applyNumberFormat="1" applyFont="1" applyFill="1" applyBorder="1" applyAlignment="1" applyProtection="1">
      <alignment horizontal="left" vertical="center"/>
      <protection/>
    </xf>
    <xf numFmtId="210" fontId="31" fillId="0" borderId="20" xfId="0" applyNumberFormat="1" applyFont="1" applyFill="1" applyBorder="1" applyAlignment="1" applyProtection="1">
      <alignment horizontal="left" vertical="center"/>
      <protection/>
    </xf>
    <xf numFmtId="0" fontId="20" fillId="49" borderId="20" xfId="0" applyFont="1" applyFill="1" applyBorder="1" applyAlignment="1">
      <alignment wrapText="1"/>
    </xf>
    <xf numFmtId="0" fontId="0" fillId="49" borderId="38" xfId="0" applyFill="1" applyBorder="1" applyAlignment="1">
      <alignment/>
    </xf>
    <xf numFmtId="210" fontId="25" fillId="0" borderId="0" xfId="0" applyNumberFormat="1" applyFont="1" applyFill="1" applyAlignment="1">
      <alignment horizontal="center"/>
    </xf>
    <xf numFmtId="210" fontId="4" fillId="0" borderId="0" xfId="0" applyNumberFormat="1" applyFont="1" applyFill="1" applyAlignment="1">
      <alignment/>
    </xf>
    <xf numFmtId="210" fontId="4" fillId="0" borderId="0" xfId="0" applyNumberFormat="1" applyFont="1" applyFill="1" applyBorder="1" applyAlignment="1">
      <alignment/>
    </xf>
    <xf numFmtId="210" fontId="4" fillId="49" borderId="0" xfId="0" applyNumberFormat="1" applyFont="1" applyFill="1" applyAlignment="1">
      <alignment/>
    </xf>
    <xf numFmtId="210" fontId="103" fillId="0" borderId="20" xfId="0" applyNumberFormat="1" applyFont="1" applyFill="1" applyBorder="1" applyAlignment="1" applyProtection="1">
      <alignment horizontal="left" vertical="center"/>
      <protection/>
    </xf>
    <xf numFmtId="210" fontId="104" fillId="0" borderId="0" xfId="0" applyNumberFormat="1" applyFont="1" applyFill="1" applyAlignment="1">
      <alignment horizontal="center"/>
    </xf>
    <xf numFmtId="3" fontId="4" fillId="49" borderId="0" xfId="0" applyNumberFormat="1" applyFont="1" applyFill="1" applyAlignment="1">
      <alignment/>
    </xf>
    <xf numFmtId="49" fontId="30" fillId="0" borderId="0" xfId="0" applyNumberFormat="1" applyFont="1" applyFill="1" applyAlignment="1">
      <alignment/>
    </xf>
    <xf numFmtId="49" fontId="5" fillId="0" borderId="0" xfId="0" applyNumberFormat="1" applyFont="1" applyFill="1" applyAlignment="1">
      <alignment/>
    </xf>
    <xf numFmtId="49" fontId="5" fillId="0" borderId="0" xfId="0" applyNumberFormat="1" applyFont="1" applyFill="1" applyAlignment="1">
      <alignment horizontal="center"/>
    </xf>
    <xf numFmtId="49" fontId="5" fillId="0" borderId="0" xfId="0" applyNumberFormat="1" applyFont="1" applyFill="1" applyBorder="1" applyAlignment="1">
      <alignment/>
    </xf>
    <xf numFmtId="49" fontId="30" fillId="0" borderId="0" xfId="0" applyNumberFormat="1" applyFont="1" applyFill="1" applyBorder="1" applyAlignment="1">
      <alignment/>
    </xf>
    <xf numFmtId="49" fontId="5" fillId="0" borderId="0" xfId="0" applyNumberFormat="1" applyFont="1" applyFill="1" applyAlignment="1">
      <alignment/>
    </xf>
    <xf numFmtId="49" fontId="30" fillId="0" borderId="0" xfId="0" applyNumberFormat="1" applyFont="1" applyFill="1" applyAlignment="1">
      <alignment/>
    </xf>
    <xf numFmtId="49" fontId="90" fillId="0" borderId="0" xfId="0" applyNumberFormat="1" applyFont="1" applyFill="1" applyBorder="1" applyAlignment="1">
      <alignment horizontal="center"/>
    </xf>
    <xf numFmtId="49" fontId="90" fillId="0" borderId="0" xfId="0" applyNumberFormat="1" applyFont="1" applyFill="1" applyBorder="1" applyAlignment="1">
      <alignment/>
    </xf>
    <xf numFmtId="49" fontId="19" fillId="0" borderId="0" xfId="0" applyNumberFormat="1" applyFont="1" applyFill="1" applyBorder="1" applyAlignment="1">
      <alignment/>
    </xf>
    <xf numFmtId="49" fontId="5" fillId="0" borderId="20" xfId="0" applyNumberFormat="1" applyFont="1" applyFill="1" applyBorder="1" applyAlignment="1" applyProtection="1">
      <alignment horizontal="center" vertical="center" wrapText="1"/>
      <protection/>
    </xf>
    <xf numFmtId="49" fontId="90" fillId="0" borderId="20" xfId="0" applyNumberFormat="1" applyFont="1" applyFill="1" applyBorder="1" applyAlignment="1" applyProtection="1">
      <alignment horizontal="center" vertical="center"/>
      <protection/>
    </xf>
    <xf numFmtId="49" fontId="19" fillId="0" borderId="20" xfId="0" applyNumberFormat="1" applyFont="1" applyFill="1" applyBorder="1" applyAlignment="1" applyProtection="1">
      <alignment horizontal="center" vertical="center"/>
      <protection/>
    </xf>
    <xf numFmtId="49" fontId="19" fillId="0" borderId="39" xfId="0" applyNumberFormat="1" applyFont="1" applyFill="1" applyBorder="1" applyAlignment="1" applyProtection="1">
      <alignment horizontal="center" vertical="center"/>
      <protection/>
    </xf>
    <xf numFmtId="0" fontId="5" fillId="0" borderId="19" xfId="0" applyNumberFormat="1" applyFont="1" applyFill="1" applyBorder="1" applyAlignment="1">
      <alignment/>
    </xf>
    <xf numFmtId="0" fontId="5" fillId="0" borderId="0" xfId="0" applyNumberFormat="1" applyFont="1" applyFill="1" applyAlignment="1">
      <alignment/>
    </xf>
    <xf numFmtId="0" fontId="30" fillId="0" borderId="0" xfId="0" applyNumberFormat="1" applyFont="1" applyFill="1" applyAlignment="1">
      <alignment/>
    </xf>
    <xf numFmtId="0" fontId="30" fillId="0" borderId="0" xfId="0" applyNumberFormat="1" applyFont="1" applyFill="1" applyAlignment="1">
      <alignment/>
    </xf>
    <xf numFmtId="0" fontId="5" fillId="0" borderId="0" xfId="0" applyNumberFormat="1" applyFont="1" applyFill="1" applyAlignment="1">
      <alignment/>
    </xf>
    <xf numFmtId="0" fontId="30" fillId="0" borderId="0" xfId="0" applyNumberFormat="1" applyFont="1" applyFill="1" applyAlignment="1">
      <alignment wrapText="1"/>
    </xf>
    <xf numFmtId="0" fontId="5" fillId="0" borderId="0" xfId="0" applyNumberFormat="1" applyFont="1" applyFill="1" applyAlignment="1">
      <alignment wrapText="1"/>
    </xf>
    <xf numFmtId="0" fontId="6" fillId="0" borderId="0" xfId="0" applyNumberFormat="1" applyFont="1" applyFill="1" applyAlignment="1">
      <alignment/>
    </xf>
    <xf numFmtId="0" fontId="30" fillId="50" borderId="20" xfId="0" applyFont="1" applyFill="1" applyBorder="1" applyAlignment="1" applyProtection="1">
      <alignment horizontal="center" vertical="center"/>
      <protection/>
    </xf>
    <xf numFmtId="0" fontId="30" fillId="50" borderId="20" xfId="0" applyFont="1" applyFill="1" applyBorder="1" applyAlignment="1" applyProtection="1">
      <alignment horizontal="left" vertical="center"/>
      <protection/>
    </xf>
    <xf numFmtId="210" fontId="5" fillId="51" borderId="20" xfId="0" applyNumberFormat="1" applyFont="1" applyFill="1" applyBorder="1" applyAlignment="1" applyProtection="1">
      <alignment horizontal="left" vertical="center"/>
      <protection/>
    </xf>
    <xf numFmtId="210" fontId="5" fillId="51" borderId="20" xfId="0" applyNumberFormat="1" applyFont="1" applyFill="1" applyBorder="1" applyAlignment="1" applyProtection="1">
      <alignment horizontal="right" vertical="center"/>
      <protection/>
    </xf>
    <xf numFmtId="0" fontId="30" fillId="50" borderId="20" xfId="267" applyFont="1" applyFill="1" applyBorder="1" applyAlignment="1">
      <alignment horizontal="left"/>
      <protection/>
    </xf>
    <xf numFmtId="49" fontId="8" fillId="0" borderId="0" xfId="0" applyNumberFormat="1" applyFont="1" applyFill="1" applyAlignment="1">
      <alignment horizontal="left"/>
    </xf>
    <xf numFmtId="210" fontId="107" fillId="0" borderId="0" xfId="0" applyNumberFormat="1" applyFont="1" applyFill="1" applyAlignment="1">
      <alignment horizontal="left"/>
    </xf>
    <xf numFmtId="210" fontId="8" fillId="0" borderId="0" xfId="0" applyNumberFormat="1" applyFont="1" applyFill="1" applyAlignment="1">
      <alignment horizontal="left"/>
    </xf>
    <xf numFmtId="210" fontId="8" fillId="0" borderId="0" xfId="0" applyNumberFormat="1" applyFont="1" applyFill="1" applyBorder="1" applyAlignment="1">
      <alignment horizontal="left"/>
    </xf>
    <xf numFmtId="210" fontId="107" fillId="0" borderId="0" xfId="0" applyNumberFormat="1" applyFont="1" applyFill="1" applyBorder="1" applyAlignment="1">
      <alignment horizontal="left"/>
    </xf>
    <xf numFmtId="49" fontId="8" fillId="0" borderId="0" xfId="0" applyNumberFormat="1" applyFont="1" applyFill="1" applyBorder="1" applyAlignment="1">
      <alignment horizontal="left"/>
    </xf>
    <xf numFmtId="210" fontId="8" fillId="0" borderId="20" xfId="0" applyNumberFormat="1" applyFont="1" applyFill="1" applyBorder="1" applyAlignment="1" applyProtection="1">
      <alignment horizontal="center" vertical="center" wrapText="1"/>
      <protection/>
    </xf>
    <xf numFmtId="210" fontId="8"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left"/>
    </xf>
    <xf numFmtId="3" fontId="8" fillId="50" borderId="20" xfId="0" applyNumberFormat="1" applyFont="1" applyFill="1" applyBorder="1" applyAlignment="1" applyProtection="1">
      <alignment horizontal="right" vertical="center"/>
      <protection/>
    </xf>
    <xf numFmtId="3" fontId="26" fillId="50" borderId="20" xfId="268" applyNumberFormat="1" applyFont="1" applyFill="1" applyBorder="1" applyAlignment="1" applyProtection="1">
      <alignment horizontal="right" vertical="center"/>
      <protection/>
    </xf>
    <xf numFmtId="210" fontId="8" fillId="49" borderId="0" xfId="0" applyNumberFormat="1" applyFont="1" applyFill="1" applyAlignment="1">
      <alignment horizontal="right"/>
    </xf>
    <xf numFmtId="49" fontId="8" fillId="49" borderId="0" xfId="0" applyNumberFormat="1" applyFont="1" applyFill="1" applyAlignment="1">
      <alignment horizontal="left"/>
    </xf>
    <xf numFmtId="0" fontId="107" fillId="50" borderId="20" xfId="0" applyFont="1" applyFill="1" applyBorder="1" applyAlignment="1" applyProtection="1">
      <alignment horizontal="left" vertical="center"/>
      <protection/>
    </xf>
    <xf numFmtId="210" fontId="8" fillId="51" borderId="20" xfId="0" applyNumberFormat="1" applyFont="1" applyFill="1" applyBorder="1" applyAlignment="1" applyProtection="1">
      <alignment horizontal="left" vertical="center"/>
      <protection/>
    </xf>
    <xf numFmtId="3" fontId="108" fillId="51" borderId="20" xfId="0" applyNumberFormat="1" applyFont="1" applyFill="1" applyBorder="1" applyAlignment="1" applyProtection="1">
      <alignment horizontal="right" vertical="center"/>
      <protection/>
    </xf>
    <xf numFmtId="0" fontId="107" fillId="50" borderId="20" xfId="0" applyFont="1" applyFill="1" applyBorder="1" applyAlignment="1" applyProtection="1">
      <alignment horizontal="center" vertical="center"/>
      <protection/>
    </xf>
    <xf numFmtId="0" fontId="25" fillId="0" borderId="0" xfId="0" applyNumberFormat="1" applyFont="1" applyFill="1" applyAlignment="1">
      <alignment wrapText="1"/>
    </xf>
    <xf numFmtId="0" fontId="146" fillId="50" borderId="20" xfId="0" applyFont="1" applyFill="1" applyBorder="1" applyAlignment="1" applyProtection="1">
      <alignment horizontal="center" vertical="center"/>
      <protection/>
    </xf>
    <xf numFmtId="0" fontId="146" fillId="50" borderId="20" xfId="267" applyFont="1" applyFill="1" applyBorder="1" applyAlignment="1">
      <alignment horizontal="left"/>
      <protection/>
    </xf>
    <xf numFmtId="3" fontId="108" fillId="50" borderId="20" xfId="0" applyNumberFormat="1" applyFont="1" applyFill="1" applyBorder="1" applyAlignment="1" applyProtection="1">
      <alignment horizontal="right" vertical="center"/>
      <protection/>
    </xf>
    <xf numFmtId="4" fontId="26" fillId="50" borderId="20" xfId="268" applyNumberFormat="1" applyFont="1" applyFill="1" applyBorder="1" applyAlignment="1">
      <alignment horizontal="right"/>
      <protection/>
    </xf>
    <xf numFmtId="0" fontId="8" fillId="50" borderId="20" xfId="0" applyFont="1" applyFill="1" applyBorder="1" applyAlignment="1" applyProtection="1">
      <alignment horizontal="center" vertical="center"/>
      <protection/>
    </xf>
    <xf numFmtId="0" fontId="8" fillId="50" borderId="20" xfId="0" applyFont="1" applyFill="1" applyBorder="1" applyAlignment="1" applyProtection="1">
      <alignment horizontal="left" vertical="center"/>
      <protection/>
    </xf>
    <xf numFmtId="0" fontId="8" fillId="50" borderId="20" xfId="267" applyFont="1" applyFill="1" applyBorder="1" applyAlignment="1">
      <alignment horizontal="left"/>
      <protection/>
    </xf>
    <xf numFmtId="210" fontId="8" fillId="50" borderId="0" xfId="0" applyNumberFormat="1" applyFont="1" applyFill="1" applyAlignment="1">
      <alignment horizontal="right"/>
    </xf>
    <xf numFmtId="0" fontId="30" fillId="51" borderId="20" xfId="0" applyFont="1" applyFill="1" applyBorder="1" applyAlignment="1" applyProtection="1">
      <alignment horizontal="center" vertical="center"/>
      <protection/>
    </xf>
    <xf numFmtId="0" fontId="5" fillId="51" borderId="20" xfId="0" applyFont="1" applyFill="1" applyBorder="1" applyAlignment="1" applyProtection="1">
      <alignment horizontal="center" vertical="center"/>
      <protection/>
    </xf>
    <xf numFmtId="49" fontId="5" fillId="51" borderId="20" xfId="268" applyNumberFormat="1" applyFont="1" applyFill="1" applyBorder="1" applyAlignment="1" applyProtection="1">
      <alignment horizontal="left" vertical="center"/>
      <protection/>
    </xf>
    <xf numFmtId="49" fontId="5" fillId="51" borderId="20" xfId="0" applyNumberFormat="1" applyFont="1" applyFill="1" applyBorder="1" applyAlignment="1" applyProtection="1">
      <alignment horizontal="left" vertical="center"/>
      <protection/>
    </xf>
    <xf numFmtId="0" fontId="5" fillId="51" borderId="20" xfId="0" applyFont="1" applyFill="1" applyBorder="1" applyAlignment="1" applyProtection="1">
      <alignment horizontal="left" vertical="center"/>
      <protection/>
    </xf>
    <xf numFmtId="0" fontId="5" fillId="51" borderId="20" xfId="267" applyFont="1" applyFill="1" applyBorder="1" applyAlignment="1">
      <alignment horizontal="left"/>
      <protection/>
    </xf>
    <xf numFmtId="49" fontId="5" fillId="51" borderId="20" xfId="0" applyNumberFormat="1" applyFont="1" applyFill="1" applyBorder="1" applyAlignment="1" applyProtection="1">
      <alignment horizontal="center" vertical="center"/>
      <protection/>
    </xf>
    <xf numFmtId="49" fontId="5" fillId="51" borderId="20" xfId="0" applyNumberFormat="1" applyFont="1" applyFill="1" applyBorder="1" applyAlignment="1" applyProtection="1">
      <alignment vertical="center"/>
      <protection/>
    </xf>
    <xf numFmtId="4" fontId="5" fillId="51" borderId="20" xfId="0" applyNumberFormat="1" applyFont="1" applyFill="1" applyBorder="1" applyAlignment="1" applyProtection="1">
      <alignment horizontal="center" vertical="center"/>
      <protection/>
    </xf>
    <xf numFmtId="3" fontId="5" fillId="51" borderId="20" xfId="0" applyNumberFormat="1" applyFont="1" applyFill="1" applyBorder="1" applyAlignment="1" applyProtection="1">
      <alignment vertical="center"/>
      <protection/>
    </xf>
    <xf numFmtId="3" fontId="5" fillId="51" borderId="21" xfId="0" applyNumberFormat="1" applyFont="1" applyFill="1" applyBorder="1" applyAlignment="1" applyProtection="1">
      <alignment vertical="center"/>
      <protection/>
    </xf>
    <xf numFmtId="49" fontId="5" fillId="51" borderId="20" xfId="264" applyNumberFormat="1" applyFont="1" applyFill="1" applyBorder="1" applyAlignment="1" applyProtection="1">
      <alignment vertical="center"/>
      <protection locked="0"/>
    </xf>
    <xf numFmtId="49" fontId="5" fillId="51" borderId="20" xfId="264" applyNumberFormat="1" applyFont="1" applyFill="1" applyBorder="1" applyAlignment="1" applyProtection="1">
      <alignment vertical="center" wrapText="1"/>
      <protection locked="0"/>
    </xf>
    <xf numFmtId="0" fontId="5" fillId="51" borderId="20" xfId="0" applyNumberFormat="1" applyFont="1" applyFill="1" applyBorder="1" applyAlignment="1" applyProtection="1">
      <alignment horizontal="left" vertical="center" wrapText="1"/>
      <protection/>
    </xf>
    <xf numFmtId="49" fontId="5" fillId="51" borderId="0" xfId="0" applyNumberFormat="1" applyFont="1" applyFill="1" applyAlignment="1">
      <alignment horizontal="left" vertical="center" wrapText="1"/>
    </xf>
    <xf numFmtId="0" fontId="5" fillId="51" borderId="21" xfId="0" applyNumberFormat="1" applyFont="1" applyFill="1" applyBorder="1" applyAlignment="1" applyProtection="1">
      <alignment horizontal="left" vertical="center" wrapText="1"/>
      <protection/>
    </xf>
    <xf numFmtId="210" fontId="5" fillId="51" borderId="20" xfId="284" applyNumberFormat="1" applyFont="1" applyFill="1" applyBorder="1" applyAlignment="1">
      <alignment horizontal="right"/>
    </xf>
    <xf numFmtId="210" fontId="5" fillId="51" borderId="0" xfId="0" applyNumberFormat="1" applyFont="1" applyFill="1" applyAlignment="1">
      <alignment/>
    </xf>
    <xf numFmtId="49" fontId="5" fillId="51" borderId="0" xfId="0" applyNumberFormat="1" applyFont="1" applyFill="1" applyAlignment="1">
      <alignment/>
    </xf>
    <xf numFmtId="1" fontId="5" fillId="51" borderId="20" xfId="0" applyNumberFormat="1" applyFont="1" applyFill="1" applyBorder="1" applyAlignment="1" applyProtection="1">
      <alignment horizontal="right" vertical="center"/>
      <protection/>
    </xf>
    <xf numFmtId="1" fontId="5" fillId="51" borderId="20" xfId="0" applyNumberFormat="1" applyFont="1" applyFill="1" applyBorder="1" applyAlignment="1">
      <alignment horizontal="right"/>
    </xf>
    <xf numFmtId="3" fontId="5" fillId="51" borderId="20" xfId="0" applyNumberFormat="1" applyFont="1" applyFill="1" applyBorder="1" applyAlignment="1" applyProtection="1">
      <alignment horizontal="left" vertical="center" wrapText="1" shrinkToFit="1"/>
      <protection locked="0"/>
    </xf>
    <xf numFmtId="211" fontId="5" fillId="51" borderId="20" xfId="0" applyNumberFormat="1" applyFont="1" applyFill="1" applyBorder="1" applyAlignment="1" applyProtection="1">
      <alignment vertical="center"/>
      <protection/>
    </xf>
    <xf numFmtId="211" fontId="5" fillId="51" borderId="20" xfId="276" applyNumberFormat="1" applyFont="1" applyFill="1" applyBorder="1" applyAlignment="1" applyProtection="1">
      <alignment vertical="center"/>
      <protection/>
    </xf>
    <xf numFmtId="211" fontId="5" fillId="51" borderId="20" xfId="0" applyNumberFormat="1" applyFont="1" applyFill="1" applyBorder="1" applyAlignment="1">
      <alignment/>
    </xf>
    <xf numFmtId="217" fontId="5" fillId="51" borderId="20" xfId="0" applyNumberFormat="1" applyFont="1" applyFill="1" applyBorder="1" applyAlignment="1" applyProtection="1">
      <alignment vertical="center"/>
      <protection hidden="1"/>
    </xf>
    <xf numFmtId="217" fontId="5" fillId="51" borderId="20" xfId="276" applyNumberFormat="1" applyFont="1" applyFill="1" applyBorder="1" applyAlignment="1" applyProtection="1">
      <alignment vertical="center"/>
      <protection hidden="1"/>
    </xf>
    <xf numFmtId="217" fontId="5" fillId="51" borderId="20" xfId="0" applyNumberFormat="1" applyFont="1" applyFill="1" applyBorder="1" applyAlignment="1" applyProtection="1">
      <alignment/>
      <protection hidden="1"/>
    </xf>
    <xf numFmtId="49" fontId="5" fillId="51" borderId="0" xfId="0" applyNumberFormat="1" applyFont="1" applyFill="1" applyBorder="1" applyAlignment="1">
      <alignment/>
    </xf>
    <xf numFmtId="49" fontId="5" fillId="51" borderId="20" xfId="0" applyNumberFormat="1" applyFont="1" applyFill="1" applyBorder="1" applyAlignment="1" applyProtection="1">
      <alignment horizontal="right" vertical="center"/>
      <protection/>
    </xf>
    <xf numFmtId="213" fontId="5" fillId="51" borderId="20" xfId="0" applyNumberFormat="1" applyFont="1" applyFill="1" applyBorder="1" applyAlignment="1" applyProtection="1">
      <alignment horizontal="right" vertical="center"/>
      <protection/>
    </xf>
    <xf numFmtId="49" fontId="5" fillId="51" borderId="20" xfId="276" applyNumberFormat="1" applyFont="1" applyFill="1" applyBorder="1" applyAlignment="1" applyProtection="1">
      <alignment horizontal="right" vertical="center"/>
      <protection/>
    </xf>
    <xf numFmtId="49" fontId="5" fillId="51" borderId="20" xfId="0" applyNumberFormat="1" applyFont="1" applyFill="1" applyBorder="1" applyAlignment="1">
      <alignment horizontal="right"/>
    </xf>
    <xf numFmtId="210" fontId="5" fillId="50" borderId="20" xfId="0" applyNumberFormat="1" applyFont="1" applyFill="1" applyBorder="1" applyAlignment="1" applyProtection="1">
      <alignment vertical="center"/>
      <protection/>
    </xf>
    <xf numFmtId="215" fontId="5" fillId="50" borderId="20" xfId="280" applyNumberFormat="1" applyFont="1" applyFill="1" applyBorder="1" applyAlignment="1">
      <alignment/>
    </xf>
    <xf numFmtId="210" fontId="5" fillId="51" borderId="20" xfId="0" applyNumberFormat="1" applyFont="1" applyFill="1" applyBorder="1" applyAlignment="1" applyProtection="1">
      <alignment vertical="center"/>
      <protection/>
    </xf>
    <xf numFmtId="210" fontId="5" fillId="51" borderId="20" xfId="268" applyNumberFormat="1" applyFont="1" applyFill="1" applyBorder="1" applyAlignment="1" applyProtection="1">
      <alignment vertical="center"/>
      <protection/>
    </xf>
    <xf numFmtId="210" fontId="5" fillId="51" borderId="20" xfId="284" applyNumberFormat="1" applyFont="1" applyFill="1" applyBorder="1" applyAlignment="1">
      <alignment/>
    </xf>
    <xf numFmtId="210" fontId="5" fillId="51" borderId="20" xfId="284" applyNumberFormat="1" applyFont="1" applyFill="1" applyBorder="1" applyAlignment="1" applyProtection="1">
      <alignment vertical="center"/>
      <protection/>
    </xf>
    <xf numFmtId="210" fontId="5" fillId="51" borderId="20" xfId="0" applyNumberFormat="1" applyFont="1" applyFill="1" applyBorder="1" applyAlignment="1">
      <alignment/>
    </xf>
    <xf numFmtId="210" fontId="5" fillId="51" borderId="20" xfId="0" applyNumberFormat="1" applyFont="1" applyFill="1" applyBorder="1" applyAlignment="1">
      <alignment vertical="center"/>
    </xf>
    <xf numFmtId="210" fontId="5" fillId="51" borderId="0" xfId="0" applyNumberFormat="1" applyFont="1" applyFill="1" applyAlignment="1">
      <alignment/>
    </xf>
    <xf numFmtId="1" fontId="5" fillId="51" borderId="20" xfId="0" applyNumberFormat="1" applyFont="1" applyFill="1" applyBorder="1" applyAlignment="1" applyProtection="1">
      <alignment vertical="center"/>
      <protection/>
    </xf>
    <xf numFmtId="1" fontId="5" fillId="51" borderId="20" xfId="276" applyNumberFormat="1" applyFont="1" applyFill="1" applyBorder="1" applyAlignment="1" applyProtection="1">
      <alignment vertical="center"/>
      <protection/>
    </xf>
    <xf numFmtId="1" fontId="5" fillId="51" borderId="20" xfId="0" applyNumberFormat="1" applyFont="1" applyFill="1" applyBorder="1" applyAlignment="1">
      <alignment/>
    </xf>
    <xf numFmtId="210" fontId="5" fillId="51" borderId="20" xfId="280" applyNumberFormat="1" applyFont="1" applyFill="1" applyBorder="1" applyAlignment="1" applyProtection="1">
      <alignment vertical="center"/>
      <protection/>
    </xf>
    <xf numFmtId="194" fontId="5" fillId="51" borderId="20" xfId="0" applyNumberFormat="1" applyFont="1" applyFill="1" applyBorder="1" applyAlignment="1" applyProtection="1">
      <alignment vertical="center" shrinkToFit="1"/>
      <protection/>
    </xf>
    <xf numFmtId="3" fontId="5" fillId="51" borderId="20" xfId="0" applyNumberFormat="1" applyFont="1" applyFill="1" applyBorder="1" applyAlignment="1" applyProtection="1">
      <alignment vertical="center" shrinkToFit="1"/>
      <protection/>
    </xf>
    <xf numFmtId="194" fontId="5" fillId="51" borderId="20" xfId="0" applyNumberFormat="1" applyFont="1" applyFill="1" applyBorder="1" applyAlignment="1" applyProtection="1">
      <alignment vertical="center" shrinkToFit="1"/>
      <protection locked="0"/>
    </xf>
    <xf numFmtId="194" fontId="5" fillId="51" borderId="20" xfId="0" applyNumberFormat="1" applyFont="1" applyFill="1" applyBorder="1" applyAlignment="1">
      <alignment vertical="center" shrinkToFit="1"/>
    </xf>
    <xf numFmtId="1" fontId="5" fillId="51" borderId="20" xfId="0" applyNumberFormat="1" applyFont="1" applyFill="1" applyBorder="1" applyAlignment="1">
      <alignment vertical="center"/>
    </xf>
    <xf numFmtId="194" fontId="5" fillId="51" borderId="20" xfId="93" applyNumberFormat="1" applyFont="1" applyFill="1" applyBorder="1" applyAlignment="1" applyProtection="1">
      <alignment/>
      <protection locked="0"/>
    </xf>
    <xf numFmtId="3" fontId="5" fillId="51" borderId="20" xfId="268" applyNumberFormat="1" applyFont="1" applyFill="1" applyBorder="1" applyAlignment="1" applyProtection="1">
      <alignment vertical="center"/>
      <protection/>
    </xf>
    <xf numFmtId="3" fontId="5" fillId="51" borderId="21" xfId="268" applyNumberFormat="1" applyFont="1" applyFill="1" applyBorder="1" applyAlignment="1" applyProtection="1">
      <alignment vertical="center"/>
      <protection/>
    </xf>
    <xf numFmtId="210" fontId="8" fillId="51" borderId="0" xfId="0" applyNumberFormat="1" applyFont="1" applyFill="1" applyAlignment="1">
      <alignment horizontal="right"/>
    </xf>
    <xf numFmtId="0" fontId="8" fillId="51" borderId="20" xfId="0" applyFont="1" applyFill="1" applyBorder="1" applyAlignment="1" applyProtection="1">
      <alignment horizontal="center" vertical="center"/>
      <protection/>
    </xf>
    <xf numFmtId="49" fontId="8" fillId="51" borderId="20" xfId="268" applyNumberFormat="1" applyFont="1" applyFill="1" applyBorder="1" applyAlignment="1" applyProtection="1">
      <alignment horizontal="left" vertical="center"/>
      <protection/>
    </xf>
    <xf numFmtId="49" fontId="8" fillId="51" borderId="20" xfId="0" applyNumberFormat="1" applyFont="1" applyFill="1" applyBorder="1" applyAlignment="1" applyProtection="1">
      <alignment horizontal="left" vertical="center"/>
      <protection/>
    </xf>
    <xf numFmtId="0" fontId="8" fillId="51" borderId="20" xfId="0" applyFont="1" applyFill="1" applyBorder="1" applyAlignment="1" applyProtection="1">
      <alignment horizontal="left" vertical="center"/>
      <protection/>
    </xf>
    <xf numFmtId="0" fontId="8" fillId="51" borderId="20" xfId="267" applyFont="1" applyFill="1" applyBorder="1" applyAlignment="1">
      <alignment horizontal="left"/>
      <protection/>
    </xf>
    <xf numFmtId="49" fontId="8" fillId="51" borderId="20" xfId="0" applyNumberFormat="1" applyFont="1" applyFill="1" applyBorder="1" applyAlignment="1" applyProtection="1">
      <alignment horizontal="center" vertical="center"/>
      <protection/>
    </xf>
    <xf numFmtId="3" fontId="8" fillId="51" borderId="20" xfId="0" applyNumberFormat="1" applyFont="1" applyFill="1" applyBorder="1" applyAlignment="1" applyProtection="1">
      <alignment horizontal="right" vertical="center"/>
      <protection/>
    </xf>
    <xf numFmtId="3" fontId="8" fillId="51" borderId="20" xfId="276" applyNumberFormat="1" applyFont="1" applyFill="1" applyBorder="1" applyAlignment="1" applyProtection="1">
      <alignment horizontal="right" vertical="center"/>
      <protection/>
    </xf>
    <xf numFmtId="3" fontId="8" fillId="51" borderId="20" xfId="0" applyNumberFormat="1" applyFont="1" applyFill="1" applyBorder="1" applyAlignment="1">
      <alignment horizontal="right"/>
    </xf>
    <xf numFmtId="4" fontId="8" fillId="51" borderId="20" xfId="0" applyNumberFormat="1" applyFont="1" applyFill="1" applyBorder="1" applyAlignment="1" applyProtection="1">
      <alignment horizontal="center" vertical="center"/>
      <protection/>
    </xf>
    <xf numFmtId="0" fontId="8" fillId="51" borderId="20" xfId="0" applyNumberFormat="1" applyFont="1" applyFill="1" applyBorder="1" applyAlignment="1" applyProtection="1">
      <alignment horizontal="left" vertical="center" wrapText="1"/>
      <protection/>
    </xf>
    <xf numFmtId="49" fontId="8" fillId="51" borderId="0" xfId="0" applyNumberFormat="1" applyFont="1" applyFill="1" applyAlignment="1">
      <alignment horizontal="left" vertical="center" wrapText="1"/>
    </xf>
    <xf numFmtId="0" fontId="8" fillId="51" borderId="21" xfId="0" applyNumberFormat="1" applyFont="1" applyFill="1" applyBorder="1" applyAlignment="1" applyProtection="1">
      <alignment horizontal="left" vertical="center" wrapText="1"/>
      <protection/>
    </xf>
    <xf numFmtId="210" fontId="8" fillId="51" borderId="20" xfId="0" applyNumberFormat="1" applyFont="1" applyFill="1" applyBorder="1" applyAlignment="1" applyProtection="1">
      <alignment horizontal="center" vertical="center"/>
      <protection/>
    </xf>
    <xf numFmtId="210" fontId="108" fillId="51" borderId="20" xfId="0" applyNumberFormat="1" applyFont="1" applyFill="1" applyBorder="1" applyAlignment="1" applyProtection="1">
      <alignment horizontal="right" vertical="center"/>
      <protection/>
    </xf>
    <xf numFmtId="210" fontId="108" fillId="51" borderId="20" xfId="268" applyNumberFormat="1" applyFont="1" applyFill="1" applyBorder="1" applyAlignment="1" applyProtection="1">
      <alignment horizontal="right" vertical="center"/>
      <protection/>
    </xf>
    <xf numFmtId="210" fontId="108" fillId="51" borderId="20" xfId="0" applyNumberFormat="1" applyFont="1" applyFill="1" applyBorder="1" applyAlignment="1">
      <alignment horizontal="right"/>
    </xf>
    <xf numFmtId="210" fontId="108" fillId="51" borderId="20" xfId="284" applyNumberFormat="1" applyFont="1" applyFill="1" applyBorder="1" applyAlignment="1" applyProtection="1">
      <alignment horizontal="right" vertical="center"/>
      <protection/>
    </xf>
    <xf numFmtId="210" fontId="108" fillId="51" borderId="20" xfId="97" applyNumberFormat="1" applyFont="1" applyFill="1" applyBorder="1" applyAlignment="1">
      <alignment horizontal="right"/>
    </xf>
    <xf numFmtId="3" fontId="110" fillId="51" borderId="20" xfId="0" applyNumberFormat="1" applyFont="1" applyFill="1" applyBorder="1" applyAlignment="1" applyProtection="1">
      <alignment horizontal="right" vertical="center"/>
      <protection/>
    </xf>
    <xf numFmtId="3" fontId="8" fillId="51" borderId="20" xfId="280" applyNumberFormat="1" applyFont="1" applyFill="1" applyBorder="1" applyAlignment="1" applyProtection="1">
      <alignment horizontal="right" vertical="center"/>
      <protection/>
    </xf>
    <xf numFmtId="3" fontId="8" fillId="51" borderId="20" xfId="0" applyNumberFormat="1" applyFont="1" applyFill="1" applyBorder="1" applyAlignment="1" applyProtection="1">
      <alignment horizontal="left" vertical="center" wrapText="1" shrinkToFit="1"/>
      <protection locked="0"/>
    </xf>
    <xf numFmtId="194" fontId="8" fillId="51" borderId="20" xfId="0" applyNumberFormat="1" applyFont="1" applyFill="1" applyBorder="1" applyAlignment="1" applyProtection="1">
      <alignment horizontal="right" vertical="center" shrinkToFit="1"/>
      <protection locked="0"/>
    </xf>
    <xf numFmtId="194" fontId="8" fillId="51" borderId="20" xfId="0" applyNumberFormat="1" applyFont="1" applyFill="1" applyBorder="1" applyAlignment="1" applyProtection="1">
      <alignment horizontal="right" vertical="center" shrinkToFit="1"/>
      <protection/>
    </xf>
    <xf numFmtId="194" fontId="8" fillId="51" borderId="20" xfId="276" applyNumberFormat="1" applyFont="1" applyFill="1" applyBorder="1" applyAlignment="1" applyProtection="1">
      <alignment horizontal="right" vertical="center" shrinkToFit="1"/>
      <protection/>
    </xf>
    <xf numFmtId="3" fontId="8" fillId="51" borderId="20" xfId="264" applyNumberFormat="1" applyFont="1" applyFill="1" applyBorder="1" applyAlignment="1" applyProtection="1">
      <alignment horizontal="right" vertical="center"/>
      <protection locked="0"/>
    </xf>
    <xf numFmtId="210" fontId="8" fillId="51" borderId="20" xfId="0" applyNumberFormat="1" applyFont="1" applyFill="1" applyBorder="1" applyAlignment="1" applyProtection="1">
      <alignment horizontal="right" vertical="center"/>
      <protection/>
    </xf>
    <xf numFmtId="49" fontId="8" fillId="51" borderId="0" xfId="0" applyNumberFormat="1" applyFont="1" applyFill="1" applyAlignment="1">
      <alignment horizontal="right"/>
    </xf>
    <xf numFmtId="210" fontId="110" fillId="51" borderId="20" xfId="0" applyNumberFormat="1" applyFont="1" applyFill="1" applyBorder="1" applyAlignment="1" applyProtection="1">
      <alignment horizontal="right" vertical="center"/>
      <protection/>
    </xf>
    <xf numFmtId="1" fontId="8" fillId="51" borderId="20" xfId="0" applyNumberFormat="1" applyFont="1" applyFill="1" applyBorder="1" applyAlignment="1" applyProtection="1">
      <alignment horizontal="right" vertical="center"/>
      <protection/>
    </xf>
    <xf numFmtId="1" fontId="8" fillId="51" borderId="20" xfId="276" applyNumberFormat="1" applyFont="1" applyFill="1" applyBorder="1" applyAlignment="1" applyProtection="1">
      <alignment horizontal="right" vertical="center"/>
      <protection/>
    </xf>
    <xf numFmtId="1" fontId="8" fillId="51" borderId="20" xfId="0" applyNumberFormat="1" applyFont="1" applyFill="1" applyBorder="1" applyAlignment="1" applyProtection="1">
      <alignment horizontal="right"/>
      <protection/>
    </xf>
    <xf numFmtId="194" fontId="8" fillId="51" borderId="20" xfId="93" applyNumberFormat="1" applyFont="1" applyFill="1" applyBorder="1" applyAlignment="1" applyProtection="1">
      <alignment horizontal="right" vertical="center"/>
      <protection/>
    </xf>
    <xf numFmtId="194" fontId="8" fillId="51" borderId="20" xfId="93" applyNumberFormat="1" applyFont="1" applyFill="1" applyBorder="1" applyAlignment="1">
      <alignment horizontal="right"/>
    </xf>
    <xf numFmtId="194" fontId="8" fillId="51" borderId="20" xfId="0" applyNumberFormat="1" applyFont="1" applyFill="1" applyBorder="1" applyAlignment="1">
      <alignment horizontal="right" vertical="center" shrinkToFit="1"/>
    </xf>
    <xf numFmtId="194" fontId="8" fillId="51" borderId="20" xfId="93" applyNumberFormat="1" applyFont="1" applyFill="1" applyBorder="1" applyAlignment="1">
      <alignment horizontal="right" vertical="center"/>
    </xf>
    <xf numFmtId="217" fontId="109" fillId="51" borderId="20" xfId="0" applyNumberFormat="1" applyFont="1" applyFill="1" applyBorder="1" applyAlignment="1" applyProtection="1">
      <alignment horizontal="right" vertical="center"/>
      <protection hidden="1"/>
    </xf>
    <xf numFmtId="217" fontId="109" fillId="51" borderId="20" xfId="276" applyNumberFormat="1" applyFont="1" applyFill="1" applyBorder="1" applyAlignment="1" applyProtection="1">
      <alignment horizontal="right" vertical="center"/>
      <protection hidden="1"/>
    </xf>
    <xf numFmtId="217" fontId="109" fillId="51" borderId="20" xfId="0" applyNumberFormat="1" applyFont="1" applyFill="1" applyBorder="1" applyAlignment="1" applyProtection="1">
      <alignment horizontal="right"/>
      <protection hidden="1"/>
    </xf>
    <xf numFmtId="210" fontId="8" fillId="51" borderId="20" xfId="0" applyNumberFormat="1" applyFont="1" applyFill="1" applyBorder="1" applyAlignment="1" applyProtection="1">
      <alignment horizontal="right"/>
      <protection/>
    </xf>
    <xf numFmtId="210" fontId="8" fillId="51" borderId="20" xfId="276" applyNumberFormat="1" applyFont="1" applyFill="1" applyBorder="1" applyAlignment="1" applyProtection="1">
      <alignment horizontal="right"/>
      <protection/>
    </xf>
    <xf numFmtId="210" fontId="8" fillId="51" borderId="20" xfId="0" applyNumberFormat="1" applyFont="1" applyFill="1" applyBorder="1" applyAlignment="1">
      <alignment horizontal="right"/>
    </xf>
    <xf numFmtId="3" fontId="8" fillId="51" borderId="20" xfId="163" applyNumberFormat="1" applyFont="1" applyFill="1" applyBorder="1" applyAlignment="1" applyProtection="1">
      <alignment horizontal="right" vertical="center"/>
      <protection/>
    </xf>
    <xf numFmtId="3" fontId="8" fillId="51" borderId="21" xfId="163" applyNumberFormat="1" applyFont="1" applyFill="1" applyBorder="1" applyAlignment="1" applyProtection="1">
      <alignment horizontal="right" vertical="center"/>
      <protection/>
    </xf>
    <xf numFmtId="3" fontId="110" fillId="51" borderId="20" xfId="276" applyNumberFormat="1" applyFont="1" applyFill="1" applyBorder="1" applyAlignment="1" applyProtection="1">
      <alignment horizontal="right" vertical="center"/>
      <protection/>
    </xf>
    <xf numFmtId="3" fontId="110" fillId="51" borderId="26" xfId="276" applyNumberFormat="1" applyFont="1" applyFill="1" applyBorder="1" applyAlignment="1" applyProtection="1">
      <alignment horizontal="right" vertical="center"/>
      <protection/>
    </xf>
    <xf numFmtId="3" fontId="8" fillId="51" borderId="25" xfId="0" applyNumberFormat="1" applyFont="1" applyFill="1" applyBorder="1" applyAlignment="1">
      <alignment horizontal="right" vertical="center"/>
    </xf>
    <xf numFmtId="3" fontId="8" fillId="51" borderId="26" xfId="276" applyNumberFormat="1" applyFont="1" applyFill="1" applyBorder="1" applyAlignment="1" applyProtection="1">
      <alignment horizontal="right" vertical="center"/>
      <protection/>
    </xf>
    <xf numFmtId="210" fontId="8" fillId="51" borderId="20" xfId="276" applyNumberFormat="1" applyFont="1" applyFill="1" applyBorder="1" applyAlignment="1" applyProtection="1">
      <alignment horizontal="right" vertical="center"/>
      <protection/>
    </xf>
    <xf numFmtId="210" fontId="8" fillId="51" borderId="20" xfId="0" applyNumberFormat="1" applyFont="1" applyFill="1" applyBorder="1" applyAlignment="1">
      <alignment horizontal="right" vertical="center"/>
    </xf>
    <xf numFmtId="3" fontId="8" fillId="51" borderId="20" xfId="0" applyNumberFormat="1" applyFont="1" applyFill="1" applyBorder="1" applyAlignment="1" applyProtection="1">
      <alignment horizontal="left" vertical="center"/>
      <protection/>
    </xf>
    <xf numFmtId="3" fontId="8" fillId="51" borderId="21" xfId="0" applyNumberFormat="1" applyFont="1" applyFill="1" applyBorder="1" applyAlignment="1" applyProtection="1">
      <alignment horizontal="left" vertical="center"/>
      <protection/>
    </xf>
    <xf numFmtId="210" fontId="5" fillId="50" borderId="20" xfId="284" applyNumberFormat="1" applyFont="1" applyFill="1" applyBorder="1" applyAlignment="1">
      <alignment/>
    </xf>
    <xf numFmtId="210" fontId="5" fillId="50" borderId="0" xfId="0" applyNumberFormat="1" applyFont="1" applyFill="1" applyAlignment="1">
      <alignment/>
    </xf>
    <xf numFmtId="49" fontId="5" fillId="50" borderId="0" xfId="0" applyNumberFormat="1" applyFont="1" applyFill="1" applyAlignment="1">
      <alignment/>
    </xf>
    <xf numFmtId="1" fontId="5" fillId="50" borderId="20" xfId="0" applyNumberFormat="1" applyFont="1" applyFill="1" applyBorder="1" applyAlignment="1" applyProtection="1">
      <alignment vertical="center"/>
      <protection/>
    </xf>
    <xf numFmtId="194" fontId="5" fillId="50" borderId="20" xfId="0" applyNumberFormat="1" applyFont="1" applyFill="1" applyBorder="1" applyAlignment="1" applyProtection="1">
      <alignment vertical="center" shrinkToFit="1"/>
      <protection/>
    </xf>
    <xf numFmtId="194" fontId="5" fillId="50" borderId="20" xfId="93" applyNumberFormat="1" applyFont="1" applyFill="1" applyBorder="1" applyAlignment="1" applyProtection="1">
      <alignment/>
      <protection locked="0"/>
    </xf>
    <xf numFmtId="210" fontId="5" fillId="50" borderId="20" xfId="0" applyNumberFormat="1" applyFont="1" applyFill="1" applyBorder="1" applyAlignment="1" applyProtection="1">
      <alignment/>
      <protection/>
    </xf>
    <xf numFmtId="3" fontId="5" fillId="50" borderId="20" xfId="268" applyNumberFormat="1" applyFont="1" applyFill="1" applyBorder="1" applyAlignment="1" applyProtection="1">
      <alignment vertical="center"/>
      <protection/>
    </xf>
    <xf numFmtId="210" fontId="5" fillId="50" borderId="20" xfId="95" applyNumberFormat="1" applyFont="1" applyFill="1" applyBorder="1" applyAlignment="1" applyProtection="1">
      <alignment/>
      <protection locked="0"/>
    </xf>
    <xf numFmtId="49" fontId="146" fillId="50" borderId="0" xfId="0" applyNumberFormat="1" applyFont="1" applyFill="1" applyAlignment="1">
      <alignment/>
    </xf>
    <xf numFmtId="216" fontId="8" fillId="0" borderId="0" xfId="0" applyNumberFormat="1" applyFont="1" applyFill="1" applyAlignment="1">
      <alignment horizontal="center"/>
    </xf>
    <xf numFmtId="216" fontId="31" fillId="0" borderId="0" xfId="0" applyNumberFormat="1" applyFont="1" applyFill="1" applyAlignment="1">
      <alignment horizontal="center"/>
    </xf>
    <xf numFmtId="216" fontId="29" fillId="0" borderId="0" xfId="0" applyNumberFormat="1" applyFont="1" applyFill="1" applyAlignment="1">
      <alignment horizontal="center"/>
    </xf>
    <xf numFmtId="210" fontId="108" fillId="50" borderId="20" xfId="0" applyNumberFormat="1" applyFont="1" applyFill="1" applyBorder="1" applyAlignment="1" applyProtection="1">
      <alignment horizontal="right" vertical="center"/>
      <protection/>
    </xf>
    <xf numFmtId="210" fontId="108" fillId="50" borderId="20" xfId="0" applyNumberFormat="1" applyFont="1" applyFill="1" applyBorder="1" applyAlignment="1">
      <alignment horizontal="right"/>
    </xf>
    <xf numFmtId="49" fontId="8" fillId="50" borderId="0" xfId="0" applyNumberFormat="1" applyFont="1" applyFill="1" applyAlignment="1">
      <alignment horizontal="right"/>
    </xf>
    <xf numFmtId="3" fontId="110" fillId="50" borderId="20" xfId="0" applyNumberFormat="1" applyFont="1" applyFill="1" applyBorder="1" applyAlignment="1" applyProtection="1">
      <alignment horizontal="right" vertical="center"/>
      <protection/>
    </xf>
    <xf numFmtId="194" fontId="8" fillId="50" borderId="20" xfId="93" applyNumberFormat="1" applyFont="1" applyFill="1" applyBorder="1" applyAlignment="1" applyProtection="1">
      <alignment horizontal="right" vertical="center"/>
      <protection/>
    </xf>
    <xf numFmtId="3" fontId="8" fillId="50" borderId="20" xfId="0" applyNumberFormat="1" applyFont="1" applyFill="1" applyBorder="1" applyAlignment="1" applyProtection="1">
      <alignment horizontal="right" vertical="center" shrinkToFit="1"/>
      <protection/>
    </xf>
    <xf numFmtId="3" fontId="8" fillId="50" borderId="20" xfId="95" applyNumberFormat="1" applyFont="1" applyFill="1" applyBorder="1" applyAlignment="1" applyProtection="1">
      <alignment horizontal="right" vertical="center"/>
      <protection/>
    </xf>
    <xf numFmtId="0" fontId="8" fillId="50" borderId="20" xfId="0" applyFont="1" applyFill="1" applyBorder="1" applyAlignment="1" applyProtection="1">
      <alignment horizontal="center" vertical="top"/>
      <protection/>
    </xf>
    <xf numFmtId="0" fontId="8" fillId="50" borderId="20" xfId="0" applyFont="1" applyFill="1" applyBorder="1" applyAlignment="1" applyProtection="1">
      <alignment horizontal="left" vertical="top"/>
      <protection/>
    </xf>
    <xf numFmtId="3" fontId="8" fillId="50" borderId="20" xfId="264" applyNumberFormat="1" applyFont="1" applyFill="1" applyBorder="1" applyAlignment="1" applyProtection="1">
      <alignment horizontal="right" vertical="center"/>
      <protection locked="0"/>
    </xf>
    <xf numFmtId="3" fontId="8" fillId="50" borderId="20" xfId="0" applyNumberFormat="1" applyFont="1" applyFill="1" applyBorder="1" applyAlignment="1" applyProtection="1">
      <alignment horizontal="right"/>
      <protection/>
    </xf>
    <xf numFmtId="3" fontId="8" fillId="50" borderId="20" xfId="268" applyNumberFormat="1" applyFont="1" applyFill="1" applyBorder="1" applyAlignment="1" applyProtection="1">
      <alignment horizontal="right" vertical="center"/>
      <protection/>
    </xf>
    <xf numFmtId="210" fontId="8" fillId="50" borderId="20" xfId="0" applyNumberFormat="1" applyFont="1" applyFill="1" applyBorder="1" applyAlignment="1" applyProtection="1">
      <alignment horizontal="right" vertical="center"/>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8" xfId="0" applyFont="1" applyFill="1" applyBorder="1" applyAlignment="1">
      <alignment/>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1" xfId="0" applyNumberFormat="1" applyFont="1" applyFill="1" applyBorder="1" applyAlignment="1">
      <alignment horizontal="center" vertical="center" wrapText="1"/>
    </xf>
    <xf numFmtId="0" fontId="25" fillId="0" borderId="0" xfId="265" applyFont="1" applyAlignment="1">
      <alignment horizontal="center"/>
      <protection/>
    </xf>
    <xf numFmtId="49" fontId="25" fillId="47" borderId="0" xfId="265" applyNumberFormat="1" applyFont="1" applyFill="1" applyAlignment="1">
      <alignment horizontal="center"/>
      <protection/>
    </xf>
    <xf numFmtId="49" fontId="25" fillId="0" borderId="0" xfId="265" applyNumberFormat="1" applyFont="1" applyBorder="1" applyAlignment="1">
      <alignment horizontal="center" wrapText="1"/>
      <protection/>
    </xf>
    <xf numFmtId="49" fontId="7" fillId="0" borderId="26" xfId="265" applyNumberFormat="1" applyFont="1" applyFill="1" applyBorder="1" applyAlignment="1">
      <alignment horizontal="center" vertical="center" wrapText="1"/>
      <protection/>
    </xf>
    <xf numFmtId="49" fontId="7" fillId="0" borderId="25" xfId="265" applyNumberFormat="1" applyFont="1" applyFill="1" applyBorder="1" applyAlignment="1">
      <alignment horizontal="center" vertical="center" wrapText="1"/>
      <protection/>
    </xf>
    <xf numFmtId="49" fontId="28" fillId="0" borderId="25" xfId="265" applyNumberFormat="1" applyFont="1" applyFill="1" applyBorder="1" applyAlignment="1">
      <alignment horizontal="center" vertical="center" wrapText="1"/>
      <protection/>
    </xf>
    <xf numFmtId="0" fontId="57" fillId="3" borderId="26" xfId="265" applyNumberFormat="1" applyFont="1" applyFill="1" applyBorder="1" applyAlignment="1">
      <alignment horizontal="center" vertical="center" wrapText="1"/>
      <protection/>
    </xf>
    <xf numFmtId="0" fontId="57" fillId="3" borderId="25" xfId="265" applyNumberFormat="1" applyFont="1" applyFill="1" applyBorder="1" applyAlignment="1">
      <alignment horizontal="center" vertical="center" wrapText="1"/>
      <protection/>
    </xf>
    <xf numFmtId="49" fontId="3" fillId="0" borderId="0" xfId="265" applyNumberFormat="1" applyFont="1" applyAlignment="1">
      <alignment horizontal="left"/>
      <protection/>
    </xf>
    <xf numFmtId="49" fontId="3" fillId="0" borderId="0" xfId="265" applyNumberFormat="1" applyFont="1" applyBorder="1" applyAlignment="1">
      <alignment horizontal="left" wrapText="1"/>
      <protection/>
    </xf>
    <xf numFmtId="49" fontId="0" fillId="0" borderId="0" xfId="265" applyNumberFormat="1" applyFont="1" applyBorder="1" applyAlignment="1">
      <alignment horizontal="left" wrapText="1"/>
      <protection/>
    </xf>
    <xf numFmtId="49" fontId="7" fillId="0" borderId="26" xfId="265" applyNumberFormat="1" applyFont="1" applyBorder="1" applyAlignment="1">
      <alignment horizontal="center" vertical="center" wrapText="1"/>
      <protection/>
    </xf>
    <xf numFmtId="49" fontId="7" fillId="0" borderId="41" xfId="265" applyNumberFormat="1" applyFont="1" applyBorder="1" applyAlignment="1">
      <alignment horizontal="center" vertical="center" wrapText="1"/>
      <protection/>
    </xf>
    <xf numFmtId="49" fontId="7" fillId="0" borderId="25" xfId="265" applyNumberFormat="1" applyFont="1" applyBorder="1" applyAlignment="1">
      <alignment horizontal="center" vertical="center" wrapText="1"/>
      <protection/>
    </xf>
    <xf numFmtId="49" fontId="18" fillId="0" borderId="22" xfId="265" applyNumberFormat="1" applyFont="1" applyFill="1" applyBorder="1" applyAlignment="1">
      <alignment horizontal="center" vertical="center"/>
      <protection/>
    </xf>
    <xf numFmtId="49" fontId="0" fillId="0" borderId="0" xfId="265" applyNumberFormat="1" applyFont="1" applyAlignment="1">
      <alignment horizontal="left"/>
      <protection/>
    </xf>
    <xf numFmtId="49" fontId="0" fillId="3" borderId="35" xfId="265" applyNumberFormat="1" applyFont="1" applyFill="1" applyBorder="1" applyAlignment="1">
      <alignment horizontal="center"/>
      <protection/>
    </xf>
    <xf numFmtId="49" fontId="0" fillId="3" borderId="19" xfId="265" applyNumberFormat="1" applyFont="1" applyFill="1" applyBorder="1" applyAlignment="1">
      <alignment horizontal="center"/>
      <protection/>
    </xf>
    <xf numFmtId="49" fontId="0" fillId="3" borderId="36" xfId="265" applyNumberFormat="1" applyFont="1" applyFill="1" applyBorder="1" applyAlignment="1">
      <alignment horizontal="center"/>
      <protection/>
    </xf>
    <xf numFmtId="3" fontId="35" fillId="47" borderId="38" xfId="265" applyNumberFormat="1" applyFont="1" applyFill="1" applyBorder="1" applyAlignment="1" applyProtection="1">
      <alignment horizontal="center" vertical="center" wrapText="1"/>
      <protection/>
    </xf>
    <xf numFmtId="3" fontId="35" fillId="47" borderId="23" xfId="265" applyNumberFormat="1" applyFont="1" applyFill="1" applyBorder="1" applyAlignment="1" applyProtection="1">
      <alignment horizontal="center" vertical="center" wrapText="1"/>
      <protection/>
    </xf>
    <xf numFmtId="49" fontId="7" fillId="0" borderId="20" xfId="265" applyNumberFormat="1" applyFont="1" applyFill="1" applyBorder="1" applyAlignment="1" applyProtection="1">
      <alignment horizontal="center" vertical="center" wrapText="1"/>
      <protection/>
    </xf>
    <xf numFmtId="3" fontId="7" fillId="47" borderId="21" xfId="265" applyNumberFormat="1" applyFont="1" applyFill="1" applyBorder="1" applyAlignment="1" applyProtection="1">
      <alignment horizontal="center" vertical="center" wrapText="1"/>
      <protection/>
    </xf>
    <xf numFmtId="3" fontId="7" fillId="47" borderId="23" xfId="265" applyNumberFormat="1" applyFont="1" applyFill="1" applyBorder="1" applyAlignment="1" applyProtection="1">
      <alignment horizontal="center" vertical="center" wrapText="1"/>
      <protection/>
    </xf>
    <xf numFmtId="49" fontId="14" fillId="47" borderId="0" xfId="265" applyNumberFormat="1" applyFont="1" applyFill="1" applyAlignment="1">
      <alignment horizontal="center" vertical="center" wrapText="1"/>
      <protection/>
    </xf>
    <xf numFmtId="0" fontId="56" fillId="3" borderId="26" xfId="265" applyNumberFormat="1" applyFont="1" applyFill="1" applyBorder="1" applyAlignment="1">
      <alignment horizontal="center" vertical="center" wrapText="1"/>
      <protection/>
    </xf>
    <xf numFmtId="0" fontId="56" fillId="3" borderId="25" xfId="265" applyNumberFormat="1" applyFont="1" applyFill="1" applyBorder="1" applyAlignment="1">
      <alignment horizontal="center" vertical="center" wrapText="1"/>
      <protection/>
    </xf>
    <xf numFmtId="49" fontId="34" fillId="0" borderId="0" xfId="265" applyNumberFormat="1" applyFont="1" applyAlignment="1">
      <alignment horizontal="center"/>
      <protection/>
    </xf>
    <xf numFmtId="49" fontId="7" fillId="0" borderId="20" xfId="265" applyNumberFormat="1" applyFont="1" applyFill="1" applyBorder="1" applyAlignment="1">
      <alignment horizontal="center" vertical="center" wrapText="1"/>
      <protection/>
    </xf>
    <xf numFmtId="49" fontId="18" fillId="0" borderId="0" xfId="265" applyNumberFormat="1" applyFont="1" applyAlignment="1">
      <alignment horizontal="left"/>
      <protection/>
    </xf>
    <xf numFmtId="0" fontId="7" fillId="0" borderId="35" xfId="265" applyNumberFormat="1" applyFont="1" applyBorder="1" applyAlignment="1">
      <alignment horizontal="center" vertical="center" wrapText="1"/>
      <protection/>
    </xf>
    <xf numFmtId="0" fontId="7" fillId="0" borderId="36" xfId="265" applyNumberFormat="1" applyFont="1" applyBorder="1" applyAlignment="1">
      <alignment horizontal="center" vertical="center" wrapText="1"/>
      <protection/>
    </xf>
    <xf numFmtId="0" fontId="7" fillId="0" borderId="24" xfId="265" applyNumberFormat="1" applyFont="1" applyBorder="1" applyAlignment="1">
      <alignment horizontal="center" vertical="center" wrapText="1"/>
      <protection/>
    </xf>
    <xf numFmtId="0" fontId="7" fillId="0" borderId="40" xfId="265" applyNumberFormat="1" applyFont="1" applyBorder="1" applyAlignment="1">
      <alignment horizontal="center" vertical="center" wrapText="1"/>
      <protection/>
    </xf>
    <xf numFmtId="49" fontId="66" fillId="0" borderId="0" xfId="265" applyNumberFormat="1" applyFont="1" applyBorder="1" applyAlignment="1">
      <alignment horizontal="center" wrapText="1"/>
      <protection/>
    </xf>
    <xf numFmtId="49" fontId="41" fillId="0" borderId="0" xfId="265" applyNumberFormat="1" applyFont="1" applyBorder="1" applyAlignment="1">
      <alignment horizontal="center" wrapText="1"/>
      <protection/>
    </xf>
    <xf numFmtId="49" fontId="29" fillId="0" borderId="0" xfId="265" applyNumberFormat="1" applyFont="1" applyAlignment="1">
      <alignment horizontal="center" wrapText="1"/>
      <protection/>
    </xf>
    <xf numFmtId="49" fontId="25" fillId="0" borderId="0" xfId="265" applyNumberFormat="1" applyFont="1" applyAlignment="1">
      <alignment horizontal="center"/>
      <protection/>
    </xf>
    <xf numFmtId="0" fontId="16" fillId="0" borderId="20" xfId="265" applyNumberFormat="1" applyFont="1" applyBorder="1" applyAlignment="1">
      <alignment horizontal="center" vertical="center" wrapText="1"/>
      <protection/>
    </xf>
    <xf numFmtId="49" fontId="7" fillId="44" borderId="26" xfId="265" applyNumberFormat="1" applyFont="1" applyFill="1" applyBorder="1" applyAlignment="1">
      <alignment horizontal="center" vertical="center"/>
      <protection/>
    </xf>
    <xf numFmtId="49" fontId="7" fillId="44" borderId="25" xfId="265" applyNumberFormat="1" applyFont="1" applyFill="1" applyBorder="1" applyAlignment="1">
      <alignment horizontal="center" vertical="center"/>
      <protection/>
    </xf>
    <xf numFmtId="49" fontId="32" fillId="0" borderId="0" xfId="265" applyNumberFormat="1" applyFont="1" applyBorder="1" applyAlignment="1">
      <alignment horizontal="center" wrapText="1"/>
      <protection/>
    </xf>
    <xf numFmtId="49" fontId="15" fillId="0" borderId="0" xfId="265" applyNumberFormat="1" applyFont="1" applyFill="1" applyBorder="1" applyAlignment="1">
      <alignment horizontal="center" vertical="center" wrapText="1"/>
      <protection/>
    </xf>
    <xf numFmtId="49" fontId="13" fillId="0" borderId="0" xfId="265" applyNumberFormat="1" applyFont="1" applyFill="1" applyAlignment="1">
      <alignment horizontal="left" wrapText="1"/>
      <protection/>
    </xf>
    <xf numFmtId="49" fontId="13" fillId="0" borderId="0" xfId="265" applyNumberFormat="1" applyFont="1" applyFill="1" applyAlignment="1">
      <alignment horizontal="center" wrapText="1"/>
      <protection/>
    </xf>
    <xf numFmtId="0" fontId="3" fillId="0" borderId="0" xfId="265" applyFont="1" applyAlignment="1">
      <alignment horizontal="center"/>
      <protection/>
    </xf>
    <xf numFmtId="49" fontId="3" fillId="47" borderId="0" xfId="265" applyNumberFormat="1" applyFont="1" applyFill="1" applyAlignment="1">
      <alignment horizontal="center"/>
      <protection/>
    </xf>
    <xf numFmtId="49" fontId="23" fillId="0" borderId="0" xfId="265" applyNumberFormat="1" applyFont="1" applyFill="1" applyBorder="1" applyAlignment="1">
      <alignment horizontal="center" wrapText="1"/>
      <protection/>
    </xf>
    <xf numFmtId="49" fontId="15" fillId="0" borderId="0" xfId="265" applyNumberFormat="1" applyFont="1" applyFill="1" applyBorder="1" applyAlignment="1">
      <alignment horizontal="center" wrapText="1"/>
      <protection/>
    </xf>
    <xf numFmtId="49" fontId="72" fillId="0" borderId="0" xfId="265" applyNumberFormat="1" applyFont="1" applyFill="1" applyAlignment="1">
      <alignment horizontal="center"/>
      <protection/>
    </xf>
    <xf numFmtId="49" fontId="18" fillId="0" borderId="0" xfId="265" applyNumberFormat="1" applyFont="1" applyFill="1" applyAlignment="1">
      <alignment horizontal="center"/>
      <protection/>
    </xf>
    <xf numFmtId="49" fontId="3" fillId="0" borderId="20" xfId="265" applyNumberFormat="1" applyFont="1" applyFill="1" applyBorder="1" applyAlignment="1">
      <alignment horizontal="center"/>
      <protection/>
    </xf>
    <xf numFmtId="49" fontId="6" fillId="0" borderId="20" xfId="265" applyNumberFormat="1" applyFont="1" applyFill="1" applyBorder="1" applyAlignment="1">
      <alignment horizontal="center" vertical="center" wrapText="1"/>
      <protection/>
    </xf>
    <xf numFmtId="49" fontId="0" fillId="0" borderId="0" xfId="265" applyNumberFormat="1" applyFont="1" applyFill="1" applyBorder="1" applyAlignment="1">
      <alignment horizontal="left"/>
      <protection/>
    </xf>
    <xf numFmtId="49" fontId="3" fillId="0" borderId="0" xfId="265" applyNumberFormat="1" applyFont="1" applyFill="1" applyBorder="1" applyAlignment="1">
      <alignment horizontal="left"/>
      <protection/>
    </xf>
    <xf numFmtId="49" fontId="3" fillId="0" borderId="0" xfId="265" applyNumberFormat="1" applyFont="1" applyFill="1" applyBorder="1" applyAlignment="1">
      <alignment horizontal="left" wrapText="1"/>
      <protection/>
    </xf>
    <xf numFmtId="49" fontId="0" fillId="0" borderId="0" xfId="265" applyNumberFormat="1" applyFont="1" applyFill="1" applyBorder="1" applyAlignment="1">
      <alignment horizontal="left" wrapText="1"/>
      <protection/>
    </xf>
    <xf numFmtId="49" fontId="6" fillId="0" borderId="22" xfId="265" applyNumberFormat="1" applyFont="1" applyFill="1" applyBorder="1" applyAlignment="1">
      <alignment horizontal="center" vertical="center" wrapText="1"/>
      <protection/>
    </xf>
    <xf numFmtId="49" fontId="6" fillId="0" borderId="41" xfId="265" applyNumberFormat="1" applyFont="1" applyFill="1" applyBorder="1" applyAlignment="1">
      <alignment horizontal="center" vertical="center" wrapText="1"/>
      <protection/>
    </xf>
    <xf numFmtId="49" fontId="6" fillId="0" borderId="25" xfId="265" applyNumberFormat="1" applyFont="1" applyFill="1" applyBorder="1" applyAlignment="1">
      <alignment horizontal="center" vertical="center" wrapText="1"/>
      <protection/>
    </xf>
    <xf numFmtId="49" fontId="68" fillId="3" borderId="26" xfId="265" applyNumberFormat="1" applyFont="1" applyFill="1" applyBorder="1" applyAlignment="1">
      <alignment horizontal="center" vertical="center" wrapText="1"/>
      <protection/>
    </xf>
    <xf numFmtId="49" fontId="68" fillId="3" borderId="25" xfId="265" applyNumberFormat="1" applyFont="1" applyFill="1" applyBorder="1" applyAlignment="1">
      <alignment horizontal="center" vertical="center" wrapText="1"/>
      <protection/>
    </xf>
    <xf numFmtId="49" fontId="7" fillId="44" borderId="26" xfId="265" applyNumberFormat="1" applyFont="1" applyFill="1" applyBorder="1" applyAlignment="1">
      <alignment horizontal="center"/>
      <protection/>
    </xf>
    <xf numFmtId="49" fontId="7" fillId="44" borderId="25" xfId="265" applyNumberFormat="1" applyFont="1" applyFill="1" applyBorder="1" applyAlignment="1">
      <alignment horizontal="center"/>
      <protection/>
    </xf>
    <xf numFmtId="49" fontId="21" fillId="0" borderId="26" xfId="265" applyNumberFormat="1" applyFont="1" applyFill="1" applyBorder="1" applyAlignment="1">
      <alignment horizontal="center" vertical="center" wrapText="1"/>
      <protection/>
    </xf>
    <xf numFmtId="49" fontId="21" fillId="0" borderId="25" xfId="265" applyNumberFormat="1" applyFont="1" applyFill="1" applyBorder="1" applyAlignment="1">
      <alignment horizontal="center" vertical="center" wrapText="1"/>
      <protection/>
    </xf>
    <xf numFmtId="0" fontId="6" fillId="0" borderId="35" xfId="265" applyNumberFormat="1" applyFont="1" applyFill="1" applyBorder="1" applyAlignment="1">
      <alignment horizontal="center" vertical="center" wrapText="1"/>
      <protection/>
    </xf>
    <xf numFmtId="0" fontId="6" fillId="0" borderId="36" xfId="265" applyNumberFormat="1" applyFont="1" applyFill="1" applyBorder="1" applyAlignment="1">
      <alignment horizontal="center" vertical="center" wrapText="1"/>
      <protection/>
    </xf>
    <xf numFmtId="0" fontId="6" fillId="0" borderId="24" xfId="265" applyNumberFormat="1" applyFont="1" applyFill="1" applyBorder="1" applyAlignment="1">
      <alignment horizontal="center" vertical="center" wrapText="1"/>
      <protection/>
    </xf>
    <xf numFmtId="0" fontId="6" fillId="0" borderId="40" xfId="265" applyNumberFormat="1" applyFont="1" applyFill="1" applyBorder="1" applyAlignment="1">
      <alignment horizontal="center" vertical="center" wrapText="1"/>
      <protection/>
    </xf>
    <xf numFmtId="0" fontId="6" fillId="0" borderId="27" xfId="265" applyNumberFormat="1" applyFont="1" applyFill="1" applyBorder="1" applyAlignment="1">
      <alignment horizontal="center" vertical="center" wrapText="1"/>
      <protection/>
    </xf>
    <xf numFmtId="0" fontId="6" fillId="0" borderId="37" xfId="265" applyNumberFormat="1" applyFont="1" applyFill="1" applyBorder="1" applyAlignment="1">
      <alignment horizontal="center" vertical="center" wrapText="1"/>
      <protection/>
    </xf>
    <xf numFmtId="49" fontId="6" fillId="0" borderId="26" xfId="265" applyNumberFormat="1" applyFont="1" applyFill="1" applyBorder="1" applyAlignment="1">
      <alignment horizontal="center" vertical="center" wrapText="1"/>
      <protection/>
    </xf>
    <xf numFmtId="49" fontId="6" fillId="0" borderId="38" xfId="265" applyNumberFormat="1" applyFont="1" applyFill="1" applyBorder="1" applyAlignment="1">
      <alignment horizontal="center" vertical="center" wrapText="1"/>
      <protection/>
    </xf>
    <xf numFmtId="49" fontId="6" fillId="0" borderId="23" xfId="265" applyNumberFormat="1" applyFont="1" applyFill="1" applyBorder="1" applyAlignment="1">
      <alignment horizontal="center" vertical="center" wrapText="1"/>
      <protection/>
    </xf>
    <xf numFmtId="49" fontId="69" fillId="3" borderId="26" xfId="265" applyNumberFormat="1" applyFont="1" applyFill="1" applyBorder="1" applyAlignment="1">
      <alignment horizontal="center" vertical="center" wrapText="1"/>
      <protection/>
    </xf>
    <xf numFmtId="49" fontId="69" fillId="3" borderId="25" xfId="265" applyNumberFormat="1" applyFont="1" applyFill="1" applyBorder="1" applyAlignment="1">
      <alignment horizontal="center" vertical="center" wrapText="1"/>
      <protection/>
    </xf>
    <xf numFmtId="49" fontId="3" fillId="0" borderId="0" xfId="265" applyNumberFormat="1" applyFont="1" applyFill="1" applyAlignment="1">
      <alignment horizontal="left"/>
      <protection/>
    </xf>
    <xf numFmtId="49" fontId="18" fillId="0" borderId="0" xfId="265" applyNumberFormat="1" applyFont="1" applyFill="1" applyBorder="1" applyAlignment="1">
      <alignment horizontal="left"/>
      <protection/>
    </xf>
    <xf numFmtId="49" fontId="0" fillId="0" borderId="0" xfId="265" applyNumberFormat="1" applyFont="1" applyFill="1" applyAlignment="1">
      <alignment horizontal="justify" wrapText="1"/>
      <protection/>
    </xf>
    <xf numFmtId="49" fontId="3" fillId="0" borderId="0" xfId="265" applyNumberFormat="1" applyFont="1" applyFill="1" applyAlignment="1">
      <alignment horizontal="center" vertical="top" wrapText="1"/>
      <protection/>
    </xf>
    <xf numFmtId="49" fontId="13" fillId="0" borderId="0" xfId="265" applyNumberFormat="1" applyFont="1" applyBorder="1" applyAlignment="1">
      <alignment wrapText="1"/>
      <protection/>
    </xf>
    <xf numFmtId="49" fontId="13" fillId="0" borderId="0" xfId="265" applyNumberFormat="1" applyFont="1" applyBorder="1" applyAlignment="1">
      <alignment horizontal="center" wrapText="1"/>
      <protection/>
    </xf>
    <xf numFmtId="49" fontId="7" fillId="44" borderId="26" xfId="265" applyNumberFormat="1" applyFont="1" applyFill="1" applyBorder="1" applyAlignment="1">
      <alignment horizontal="center" vertical="center" wrapText="1"/>
      <protection/>
    </xf>
    <xf numFmtId="49" fontId="7" fillId="44" borderId="25" xfId="265" applyNumberFormat="1" applyFont="1" applyFill="1" applyBorder="1" applyAlignment="1">
      <alignment horizontal="center" vertical="center" wrapText="1"/>
      <protection/>
    </xf>
    <xf numFmtId="49" fontId="16" fillId="0" borderId="26" xfId="265" applyNumberFormat="1" applyFont="1" applyBorder="1" applyAlignment="1">
      <alignment horizontal="center" wrapText="1"/>
      <protection/>
    </xf>
    <xf numFmtId="49" fontId="16" fillId="0" borderId="25" xfId="265" applyNumberFormat="1" applyFont="1" applyBorder="1" applyAlignment="1">
      <alignment horizontal="center" wrapText="1"/>
      <protection/>
    </xf>
    <xf numFmtId="49" fontId="29" fillId="0" borderId="0" xfId="265" applyNumberFormat="1" applyFont="1" applyBorder="1" applyAlignment="1">
      <alignment horizontal="center" wrapText="1"/>
      <protection/>
    </xf>
    <xf numFmtId="49" fontId="29" fillId="0" borderId="0" xfId="265" applyNumberFormat="1" applyFont="1" applyAlignment="1">
      <alignment horizontal="center"/>
      <protection/>
    </xf>
    <xf numFmtId="49" fontId="32" fillId="0" borderId="0" xfId="265" applyNumberFormat="1" applyFont="1" applyBorder="1" applyAlignment="1">
      <alignment horizontal="center"/>
      <protection/>
    </xf>
    <xf numFmtId="49" fontId="25" fillId="0" borderId="0" xfId="265" applyNumberFormat="1" applyFont="1" applyBorder="1" applyAlignment="1">
      <alignment horizontal="center"/>
      <protection/>
    </xf>
    <xf numFmtId="49" fontId="7" fillId="0" borderId="35" xfId="265" applyNumberFormat="1" applyFont="1" applyFill="1" applyBorder="1" applyAlignment="1">
      <alignment horizontal="center" vertical="center" wrapText="1"/>
      <protection/>
    </xf>
    <xf numFmtId="49" fontId="7" fillId="0" borderId="36" xfId="265" applyNumberFormat="1" applyFont="1" applyFill="1" applyBorder="1" applyAlignment="1">
      <alignment horizontal="center" vertical="center" wrapText="1"/>
      <protection/>
    </xf>
    <xf numFmtId="49" fontId="7" fillId="0" borderId="24" xfId="265" applyNumberFormat="1" applyFont="1" applyFill="1" applyBorder="1" applyAlignment="1">
      <alignment horizontal="center" vertical="center" wrapText="1"/>
      <protection/>
    </xf>
    <xf numFmtId="49" fontId="7" fillId="0" borderId="40" xfId="265" applyNumberFormat="1" applyFont="1" applyFill="1" applyBorder="1" applyAlignment="1">
      <alignment horizontal="center" vertical="center" wrapText="1"/>
      <protection/>
    </xf>
    <xf numFmtId="49" fontId="7" fillId="0" borderId="27" xfId="265" applyNumberFormat="1" applyFont="1" applyFill="1" applyBorder="1" applyAlignment="1">
      <alignment horizontal="center" vertical="center" wrapText="1"/>
      <protection/>
    </xf>
    <xf numFmtId="49" fontId="7" fillId="0" borderId="37" xfId="265" applyNumberFormat="1" applyFont="1" applyFill="1" applyBorder="1" applyAlignment="1">
      <alignment horizontal="center" vertical="center" wrapText="1"/>
      <protection/>
    </xf>
    <xf numFmtId="49" fontId="57" fillId="3" borderId="26" xfId="265" applyNumberFormat="1" applyFont="1" applyFill="1" applyBorder="1" applyAlignment="1">
      <alignment horizontal="center" wrapText="1"/>
      <protection/>
    </xf>
    <xf numFmtId="49" fontId="57" fillId="3" borderId="25" xfId="265" applyNumberFormat="1" applyFont="1" applyFill="1" applyBorder="1" applyAlignment="1">
      <alignment horizontal="center" wrapText="1"/>
      <protection/>
    </xf>
    <xf numFmtId="49" fontId="56" fillId="3" borderId="26" xfId="265" applyNumberFormat="1" applyFont="1" applyFill="1" applyBorder="1" applyAlignment="1">
      <alignment horizontal="center" wrapText="1"/>
      <protection/>
    </xf>
    <xf numFmtId="49" fontId="56" fillId="3" borderId="25" xfId="265" applyNumberFormat="1" applyFont="1" applyFill="1" applyBorder="1" applyAlignment="1">
      <alignment horizontal="center" wrapText="1"/>
      <protection/>
    </xf>
    <xf numFmtId="49" fontId="14" fillId="0" borderId="0" xfId="265" applyNumberFormat="1" applyFont="1" applyAlignment="1">
      <alignment horizontal="center" wrapText="1"/>
      <protection/>
    </xf>
    <xf numFmtId="49" fontId="18" fillId="0" borderId="22" xfId="265" applyNumberFormat="1" applyFont="1" applyBorder="1" applyAlignment="1">
      <alignment horizontal="left"/>
      <protection/>
    </xf>
    <xf numFmtId="49" fontId="18" fillId="0" borderId="0" xfId="265" applyNumberFormat="1" applyFont="1" applyAlignment="1">
      <alignment horizontal="center"/>
      <protection/>
    </xf>
    <xf numFmtId="49" fontId="18" fillId="0" borderId="0" xfId="265" applyNumberFormat="1" applyFont="1" applyBorder="1" applyAlignment="1">
      <alignment horizontal="left"/>
      <protection/>
    </xf>
    <xf numFmtId="49" fontId="0" fillId="0" borderId="0" xfId="265" applyNumberFormat="1" applyFont="1" applyAlignment="1">
      <alignment horizontal="left" wrapText="1"/>
      <protection/>
    </xf>
    <xf numFmtId="49" fontId="3" fillId="0" borderId="0" xfId="265" applyNumberFormat="1" applyFont="1" applyAlignment="1">
      <alignment horizontal="left" wrapText="1"/>
      <protection/>
    </xf>
    <xf numFmtId="49" fontId="0" fillId="0" borderId="0" xfId="265" applyNumberFormat="1" applyFont="1" applyAlignment="1">
      <alignment/>
      <protection/>
    </xf>
    <xf numFmtId="49" fontId="3" fillId="0" borderId="20" xfId="265" applyNumberFormat="1" applyFont="1" applyFill="1" applyBorder="1" applyAlignment="1">
      <alignment horizontal="center" vertical="center" wrapText="1"/>
      <protection/>
    </xf>
    <xf numFmtId="49" fontId="20" fillId="0" borderId="20" xfId="265" applyNumberFormat="1" applyFont="1" applyFill="1" applyBorder="1" applyAlignment="1">
      <alignment horizontal="center" vertical="center" wrapText="1"/>
      <protection/>
    </xf>
    <xf numFmtId="49" fontId="3" fillId="0" borderId="20" xfId="265" applyNumberFormat="1" applyFont="1" applyBorder="1" applyAlignment="1">
      <alignment horizontal="center"/>
      <protection/>
    </xf>
    <xf numFmtId="49" fontId="77" fillId="4" borderId="21" xfId="267" applyNumberFormat="1" applyFont="1" applyFill="1" applyBorder="1" applyAlignment="1">
      <alignment horizontal="center" vertical="center" wrapText="1"/>
      <protection/>
    </xf>
    <xf numFmtId="49" fontId="77" fillId="4" borderId="38" xfId="267" applyNumberFormat="1" applyFont="1" applyFill="1" applyBorder="1" applyAlignment="1">
      <alignment horizontal="center" vertical="center" wrapText="1"/>
      <protection/>
    </xf>
    <xf numFmtId="49" fontId="77" fillId="4" borderId="23" xfId="267" applyNumberFormat="1" applyFont="1" applyFill="1" applyBorder="1" applyAlignment="1">
      <alignment horizontal="center" vertical="center" wrapText="1"/>
      <protection/>
    </xf>
    <xf numFmtId="49" fontId="0" fillId="0" borderId="0" xfId="267" applyNumberFormat="1" applyFont="1" applyAlignment="1">
      <alignment horizontal="left"/>
      <protection/>
    </xf>
    <xf numFmtId="49" fontId="85" fillId="0" borderId="26" xfId="267" applyNumberFormat="1" applyFont="1" applyBorder="1" applyAlignment="1">
      <alignment horizontal="center" vertical="center" wrapText="1"/>
      <protection/>
    </xf>
    <xf numFmtId="49" fontId="85" fillId="0" borderId="25" xfId="267" applyNumberFormat="1" applyFont="1" applyBorder="1" applyAlignment="1">
      <alignment horizontal="center" vertical="center" wrapText="1"/>
      <protection/>
    </xf>
    <xf numFmtId="49" fontId="32" fillId="0" borderId="0" xfId="267" applyNumberFormat="1" applyFont="1" applyBorder="1" applyAlignment="1">
      <alignment horizontal="center" wrapText="1"/>
      <protection/>
    </xf>
    <xf numFmtId="49" fontId="6" fillId="0" borderId="41" xfId="267" applyNumberFormat="1" applyFont="1" applyFill="1" applyBorder="1" applyAlignment="1">
      <alignment horizontal="center" vertical="center"/>
      <protection/>
    </xf>
    <xf numFmtId="49" fontId="6" fillId="0" borderId="20" xfId="267" applyNumberFormat="1" applyFont="1" applyFill="1" applyBorder="1" applyAlignment="1">
      <alignment horizontal="center" vertical="center" wrapText="1"/>
      <protection/>
    </xf>
    <xf numFmtId="49" fontId="6" fillId="0" borderId="21" xfId="267" applyNumberFormat="1" applyFont="1" applyFill="1" applyBorder="1" applyAlignment="1">
      <alignment horizontal="center" vertical="center" wrapText="1"/>
      <protection/>
    </xf>
    <xf numFmtId="49" fontId="6" fillId="0" borderId="38" xfId="267" applyNumberFormat="1" applyFont="1" applyFill="1" applyBorder="1" applyAlignment="1">
      <alignment horizontal="center" vertical="center" wrapText="1"/>
      <protection/>
    </xf>
    <xf numFmtId="49" fontId="6" fillId="0" borderId="23" xfId="267" applyNumberFormat="1" applyFont="1" applyFill="1" applyBorder="1" applyAlignment="1">
      <alignment horizontal="center" vertical="center" wrapText="1"/>
      <protection/>
    </xf>
    <xf numFmtId="49" fontId="13" fillId="0" borderId="0" xfId="267" applyNumberFormat="1" applyFont="1" applyAlignment="1">
      <alignment horizontal="center"/>
      <protection/>
    </xf>
    <xf numFmtId="49" fontId="32" fillId="0" borderId="0" xfId="267" applyNumberFormat="1" applyFont="1" applyBorder="1" applyAlignment="1">
      <alignment horizontal="center"/>
      <protection/>
    </xf>
    <xf numFmtId="49" fontId="87" fillId="3" borderId="26" xfId="267" applyNumberFormat="1" applyFont="1" applyFill="1" applyBorder="1" applyAlignment="1">
      <alignment horizontal="center" vertical="center" wrapText="1"/>
      <protection/>
    </xf>
    <xf numFmtId="49" fontId="87" fillId="3" borderId="25" xfId="267" applyNumberFormat="1" applyFont="1" applyFill="1" applyBorder="1" applyAlignment="1">
      <alignment horizontal="center" vertical="center" wrapText="1"/>
      <protection/>
    </xf>
    <xf numFmtId="49" fontId="29" fillId="0" borderId="0" xfId="267" applyNumberFormat="1" applyFont="1" applyAlignment="1">
      <alignment horizontal="center"/>
      <protection/>
    </xf>
    <xf numFmtId="0" fontId="25" fillId="47" borderId="0" xfId="267" applyFont="1" applyFill="1" applyBorder="1" applyAlignment="1">
      <alignment horizontal="center"/>
      <protection/>
    </xf>
    <xf numFmtId="49" fontId="32" fillId="0" borderId="0" xfId="267" applyNumberFormat="1" applyFont="1" applyAlignment="1">
      <alignment horizontal="center"/>
      <protection/>
    </xf>
    <xf numFmtId="49" fontId="25" fillId="0" borderId="0" xfId="267" applyNumberFormat="1" applyFont="1" applyBorder="1" applyAlignment="1">
      <alignment horizontal="center" wrapText="1"/>
      <protection/>
    </xf>
    <xf numFmtId="49" fontId="6" fillId="0" borderId="26" xfId="267" applyNumberFormat="1" applyFont="1" applyBorder="1" applyAlignment="1">
      <alignment horizontal="center" vertical="center" wrapText="1"/>
      <protection/>
    </xf>
    <xf numFmtId="49" fontId="6" fillId="0" borderId="25" xfId="267" applyNumberFormat="1" applyFont="1" applyBorder="1" applyAlignment="1">
      <alignment horizontal="center" vertical="center" wrapText="1"/>
      <protection/>
    </xf>
    <xf numFmtId="49" fontId="25" fillId="0" borderId="0" xfId="267" applyNumberFormat="1" applyFont="1" applyBorder="1" applyAlignment="1">
      <alignment horizontal="center"/>
      <protection/>
    </xf>
    <xf numFmtId="49" fontId="3" fillId="0" borderId="0" xfId="267" applyNumberFormat="1" applyFont="1" applyBorder="1" applyAlignment="1">
      <alignment horizontal="left"/>
      <protection/>
    </xf>
    <xf numFmtId="49" fontId="6" fillId="0" borderId="35" xfId="267" applyNumberFormat="1" applyFont="1" applyFill="1" applyBorder="1" applyAlignment="1">
      <alignment horizontal="center" vertical="center"/>
      <protection/>
    </xf>
    <xf numFmtId="49" fontId="6" fillId="0" borderId="36" xfId="267" applyNumberFormat="1" applyFont="1" applyFill="1" applyBorder="1" applyAlignment="1">
      <alignment horizontal="center" vertical="center"/>
      <protection/>
    </xf>
    <xf numFmtId="49" fontId="6" fillId="0" borderId="24" xfId="267" applyNumberFormat="1" applyFont="1" applyFill="1" applyBorder="1" applyAlignment="1">
      <alignment horizontal="center" vertical="center"/>
      <protection/>
    </xf>
    <xf numFmtId="49" fontId="6" fillId="0" borderId="40" xfId="267" applyNumberFormat="1" applyFont="1" applyFill="1" applyBorder="1" applyAlignment="1">
      <alignment horizontal="center" vertical="center"/>
      <protection/>
    </xf>
    <xf numFmtId="49" fontId="6" fillId="0" borderId="27" xfId="267" applyNumberFormat="1" applyFont="1" applyFill="1" applyBorder="1" applyAlignment="1">
      <alignment horizontal="center" vertical="center"/>
      <protection/>
    </xf>
    <xf numFmtId="49" fontId="6" fillId="0" borderId="37" xfId="267" applyNumberFormat="1" applyFont="1" applyFill="1" applyBorder="1" applyAlignment="1">
      <alignment horizontal="center" vertical="center"/>
      <protection/>
    </xf>
    <xf numFmtId="49" fontId="14" fillId="0" borderId="0" xfId="267" applyNumberFormat="1" applyFont="1" applyFill="1" applyAlignment="1">
      <alignment horizontal="center" wrapText="1"/>
      <protection/>
    </xf>
    <xf numFmtId="49" fontId="14" fillId="0" borderId="0" xfId="267" applyNumberFormat="1" applyFont="1" applyAlignment="1">
      <alignment horizontal="center"/>
      <protection/>
    </xf>
    <xf numFmtId="49" fontId="4" fillId="0" borderId="0" xfId="267" applyNumberFormat="1" applyFont="1" applyAlignment="1">
      <alignment horizontal="left"/>
      <protection/>
    </xf>
    <xf numFmtId="49" fontId="6" fillId="0" borderId="26" xfId="267" applyNumberFormat="1" applyFont="1" applyFill="1" applyBorder="1" applyAlignment="1">
      <alignment horizontal="center" vertical="center"/>
      <protection/>
    </xf>
    <xf numFmtId="49" fontId="3" fillId="0" borderId="0" xfId="267" applyNumberFormat="1" applyFont="1" applyFill="1" applyAlignment="1">
      <alignment horizontal="left"/>
      <protection/>
    </xf>
    <xf numFmtId="49" fontId="34" fillId="0" borderId="0" xfId="267" applyNumberFormat="1" applyFont="1" applyAlignment="1">
      <alignment horizontal="center"/>
      <protection/>
    </xf>
    <xf numFmtId="49" fontId="18" fillId="0" borderId="0" xfId="267" applyNumberFormat="1" applyFont="1" applyBorder="1" applyAlignment="1">
      <alignment horizontal="left"/>
      <protection/>
    </xf>
    <xf numFmtId="49" fontId="6" fillId="0" borderId="26" xfId="267" applyNumberFormat="1" applyFont="1" applyFill="1" applyBorder="1" applyAlignment="1">
      <alignment horizontal="center" vertical="center" wrapText="1"/>
      <protection/>
    </xf>
    <xf numFmtId="49" fontId="86" fillId="3" borderId="26" xfId="267" applyNumberFormat="1" applyFont="1" applyFill="1" applyBorder="1" applyAlignment="1">
      <alignment horizontal="center" vertical="center" wrapText="1"/>
      <protection/>
    </xf>
    <xf numFmtId="49" fontId="86" fillId="3" borderId="25" xfId="267" applyNumberFormat="1" applyFont="1" applyFill="1" applyBorder="1" applyAlignment="1">
      <alignment horizontal="center" vertical="center" wrapText="1"/>
      <protection/>
    </xf>
    <xf numFmtId="49" fontId="6" fillId="0" borderId="25" xfId="267" applyNumberFormat="1" applyFont="1" applyFill="1" applyBorder="1" applyAlignment="1">
      <alignment horizontal="center" vertical="center" wrapText="1"/>
      <protection/>
    </xf>
    <xf numFmtId="0" fontId="6" fillId="0" borderId="21" xfId="267" applyFont="1" applyBorder="1" applyAlignment="1">
      <alignment horizontal="center" vertical="center" wrapText="1"/>
      <protection/>
    </xf>
    <xf numFmtId="0" fontId="6" fillId="0" borderId="38" xfId="267" applyFont="1" applyBorder="1" applyAlignment="1">
      <alignment horizontal="center" vertical="center" wrapText="1"/>
      <protection/>
    </xf>
    <xf numFmtId="0" fontId="6" fillId="0" borderId="23" xfId="267" applyFont="1" applyBorder="1" applyAlignment="1">
      <alignment horizontal="center" vertical="center" wrapText="1"/>
      <protection/>
    </xf>
    <xf numFmtId="0" fontId="6" fillId="0" borderId="20" xfId="267" applyFont="1" applyBorder="1" applyAlignment="1">
      <alignment horizontal="center" vertical="center" wrapText="1"/>
      <protection/>
    </xf>
    <xf numFmtId="0" fontId="21" fillId="0" borderId="26" xfId="267" applyFont="1" applyBorder="1" applyAlignment="1">
      <alignment horizontal="center" vertical="center" wrapText="1"/>
      <protection/>
    </xf>
    <xf numFmtId="0" fontId="21" fillId="0" borderId="25" xfId="267" applyFont="1" applyBorder="1" applyAlignment="1">
      <alignment horizontal="center" vertical="center" wrapText="1"/>
      <protection/>
    </xf>
    <xf numFmtId="49" fontId="6" fillId="0" borderId="19" xfId="267" applyNumberFormat="1" applyFont="1" applyFill="1" applyBorder="1" applyAlignment="1">
      <alignment horizontal="center" vertical="center"/>
      <protection/>
    </xf>
    <xf numFmtId="49" fontId="6" fillId="0" borderId="0" xfId="267" applyNumberFormat="1" applyFont="1" applyFill="1" applyBorder="1" applyAlignment="1">
      <alignment horizontal="center" vertical="center"/>
      <protection/>
    </xf>
    <xf numFmtId="49" fontId="6" fillId="0" borderId="22" xfId="267" applyNumberFormat="1" applyFont="1" applyFill="1" applyBorder="1" applyAlignment="1">
      <alignment horizontal="center" vertical="center"/>
      <protection/>
    </xf>
    <xf numFmtId="0" fontId="6" fillId="0" borderId="25" xfId="267" applyFont="1" applyBorder="1" applyAlignment="1">
      <alignment horizontal="center" vertical="center" wrapText="1"/>
      <protection/>
    </xf>
    <xf numFmtId="0" fontId="6" fillId="0" borderId="41" xfId="267" applyFont="1" applyBorder="1" applyAlignment="1">
      <alignment horizontal="center" vertical="center"/>
      <protection/>
    </xf>
    <xf numFmtId="0" fontId="6" fillId="0" borderId="25" xfId="267" applyFont="1" applyBorder="1" applyAlignment="1">
      <alignment horizontal="center" vertical="center"/>
      <protection/>
    </xf>
    <xf numFmtId="0" fontId="6" fillId="0" borderId="20" xfId="267" applyFont="1" applyBorder="1" applyAlignment="1">
      <alignment horizontal="center" vertical="center"/>
      <protection/>
    </xf>
    <xf numFmtId="0" fontId="6" fillId="0" borderId="26" xfId="267" applyFont="1" applyBorder="1" applyAlignment="1">
      <alignment horizontal="center" vertical="center" wrapText="1"/>
      <protection/>
    </xf>
    <xf numFmtId="0" fontId="13" fillId="0" borderId="22" xfId="267" applyFont="1" applyBorder="1" applyAlignment="1">
      <alignment horizontal="left"/>
      <protection/>
    </xf>
    <xf numFmtId="0" fontId="6" fillId="0" borderId="26" xfId="267" applyFont="1" applyBorder="1" applyAlignment="1">
      <alignment horizontal="center" vertical="center"/>
      <protection/>
    </xf>
    <xf numFmtId="0" fontId="68" fillId="3" borderId="26" xfId="267" applyFont="1" applyFill="1" applyBorder="1" applyAlignment="1">
      <alignment horizontal="center" vertical="center" wrapText="1"/>
      <protection/>
    </xf>
    <xf numFmtId="0" fontId="68" fillId="3" borderId="25" xfId="267" applyFont="1" applyFill="1" applyBorder="1" applyAlignment="1">
      <alignment horizontal="center" vertical="center" wrapText="1"/>
      <protection/>
    </xf>
    <xf numFmtId="0" fontId="12" fillId="0" borderId="20" xfId="267" applyFont="1" applyBorder="1" applyAlignment="1">
      <alignment horizontal="center" vertical="center" wrapText="1"/>
      <protection/>
    </xf>
    <xf numFmtId="0" fontId="6" fillId="0" borderId="20" xfId="267" applyFont="1" applyFill="1" applyBorder="1" applyAlignment="1">
      <alignment horizontal="center" vertical="center" wrapText="1"/>
      <protection/>
    </xf>
    <xf numFmtId="0" fontId="6" fillId="0" borderId="35" xfId="267" applyFont="1" applyBorder="1" applyAlignment="1">
      <alignment horizontal="center" vertical="center" wrapText="1"/>
      <protection/>
    </xf>
    <xf numFmtId="0" fontId="6" fillId="0" borderId="19" xfId="267" applyFont="1" applyBorder="1" applyAlignment="1">
      <alignment horizontal="center" vertical="center" wrapText="1"/>
      <protection/>
    </xf>
    <xf numFmtId="0" fontId="6" fillId="0" borderId="36" xfId="267" applyFont="1" applyBorder="1" applyAlignment="1">
      <alignment horizontal="center" vertical="center" wrapText="1"/>
      <protection/>
    </xf>
    <xf numFmtId="0" fontId="6" fillId="0" borderId="24" xfId="267" applyFont="1" applyBorder="1" applyAlignment="1">
      <alignment horizontal="center" vertical="center" wrapText="1"/>
      <protection/>
    </xf>
    <xf numFmtId="0" fontId="6" fillId="0" borderId="0" xfId="267" applyFont="1" applyBorder="1" applyAlignment="1">
      <alignment horizontal="center" vertical="center" wrapText="1"/>
      <protection/>
    </xf>
    <xf numFmtId="0" fontId="6" fillId="0" borderId="40" xfId="267" applyFont="1" applyBorder="1" applyAlignment="1">
      <alignment horizontal="center" vertical="center" wrapText="1"/>
      <protection/>
    </xf>
    <xf numFmtId="0" fontId="69" fillId="3" borderId="26" xfId="267" applyFont="1" applyFill="1" applyBorder="1" applyAlignment="1">
      <alignment horizontal="center" vertical="center" wrapText="1"/>
      <protection/>
    </xf>
    <xf numFmtId="0" fontId="69" fillId="3" borderId="25" xfId="267" applyFont="1" applyFill="1" applyBorder="1" applyAlignment="1">
      <alignment horizontal="center" vertical="center" wrapText="1"/>
      <protection/>
    </xf>
    <xf numFmtId="0" fontId="32" fillId="0" borderId="0" xfId="267" applyNumberFormat="1" applyFont="1" applyBorder="1" applyAlignment="1">
      <alignment horizontal="center"/>
      <protection/>
    </xf>
    <xf numFmtId="0" fontId="32" fillId="0" borderId="0" xfId="267" applyFont="1" applyBorder="1" applyAlignment="1">
      <alignment horizontal="center" wrapText="1"/>
      <protection/>
    </xf>
    <xf numFmtId="0" fontId="25" fillId="0" borderId="0" xfId="267" applyFont="1" applyBorder="1" applyAlignment="1">
      <alignment horizontal="center" wrapText="1"/>
      <protection/>
    </xf>
    <xf numFmtId="0" fontId="25" fillId="0" borderId="0" xfId="267" applyNumberFormat="1" applyFont="1" applyBorder="1" applyAlignment="1">
      <alignment horizontal="center"/>
      <protection/>
    </xf>
    <xf numFmtId="0" fontId="89" fillId="0" borderId="0" xfId="267" applyFont="1" applyAlignment="1">
      <alignment horizontal="center"/>
      <protection/>
    </xf>
    <xf numFmtId="0" fontId="3" fillId="0" borderId="0" xfId="267" applyNumberFormat="1" applyFont="1" applyAlignment="1">
      <alignment horizontal="left"/>
      <protection/>
    </xf>
    <xf numFmtId="0" fontId="0" fillId="0" borderId="0" xfId="267" applyFont="1" applyAlignment="1">
      <alignment horizontal="left"/>
      <protection/>
    </xf>
    <xf numFmtId="0" fontId="0" fillId="0" borderId="0" xfId="267" applyFont="1" applyBorder="1" applyAlignment="1">
      <alignment/>
      <protection/>
    </xf>
    <xf numFmtId="0" fontId="14" fillId="0" borderId="0" xfId="267" applyFont="1" applyAlignment="1">
      <alignment horizontal="center" wrapText="1"/>
      <protection/>
    </xf>
    <xf numFmtId="0" fontId="13" fillId="0" borderId="0" xfId="267" applyFont="1" applyBorder="1" applyAlignment="1">
      <alignment horizontal="center"/>
      <protection/>
    </xf>
    <xf numFmtId="0" fontId="14" fillId="0" borderId="0" xfId="267" applyFont="1" applyAlignment="1">
      <alignment horizontal="center"/>
      <protection/>
    </xf>
    <xf numFmtId="0" fontId="34" fillId="0" borderId="0" xfId="267" applyFont="1" applyAlignment="1">
      <alignment horizontal="center"/>
      <protection/>
    </xf>
    <xf numFmtId="3" fontId="0" fillId="47" borderId="0" xfId="267" applyNumberFormat="1" applyFont="1" applyFill="1" applyBorder="1" applyAlignment="1">
      <alignment horizontal="left"/>
      <protection/>
    </xf>
    <xf numFmtId="0" fontId="3" fillId="0" borderId="0" xfId="267" applyFont="1" applyBorder="1" applyAlignment="1">
      <alignment horizontal="left"/>
      <protection/>
    </xf>
    <xf numFmtId="0" fontId="0" fillId="0" borderId="0" xfId="267" applyFont="1" applyBorder="1" applyAlignment="1">
      <alignment horizontal="left"/>
      <protection/>
    </xf>
    <xf numFmtId="49" fontId="19" fillId="0" borderId="22" xfId="267" applyNumberFormat="1" applyFont="1" applyBorder="1" applyAlignment="1">
      <alignment horizontal="center"/>
      <protection/>
    </xf>
    <xf numFmtId="49" fontId="75" fillId="0" borderId="20" xfId="267" applyNumberFormat="1" applyFont="1" applyBorder="1" applyAlignment="1">
      <alignment horizontal="center" vertical="center" wrapText="1"/>
      <protection/>
    </xf>
    <xf numFmtId="49" fontId="12" fillId="0" borderId="20" xfId="267" applyNumberFormat="1" applyFont="1" applyBorder="1" applyAlignment="1">
      <alignment horizontal="center" vertical="center" wrapText="1"/>
      <protection/>
    </xf>
    <xf numFmtId="49" fontId="3" fillId="0" borderId="0" xfId="267" applyNumberFormat="1" applyFont="1" applyAlignment="1">
      <alignment horizontal="left"/>
      <protection/>
    </xf>
    <xf numFmtId="49" fontId="5" fillId="0" borderId="0" xfId="267" applyNumberFormat="1" applyFont="1" applyBorder="1" applyAlignment="1">
      <alignment horizontal="left" wrapText="1"/>
      <protection/>
    </xf>
    <xf numFmtId="49" fontId="5" fillId="0" borderId="0" xfId="267" applyNumberFormat="1" applyFont="1" applyBorder="1" applyAlignment="1">
      <alignment horizontal="left"/>
      <protection/>
    </xf>
    <xf numFmtId="49" fontId="14" fillId="0" borderId="0" xfId="267" applyNumberFormat="1" applyFont="1" applyAlignment="1">
      <alignment horizontal="center" wrapText="1"/>
      <protection/>
    </xf>
    <xf numFmtId="49" fontId="0" fillId="47" borderId="0" xfId="267" applyNumberFormat="1" applyFont="1" applyFill="1" applyBorder="1" applyAlignment="1">
      <alignment horizontal="left" vertical="top" wrapText="1"/>
      <protection/>
    </xf>
    <xf numFmtId="49" fontId="3" fillId="47" borderId="0" xfId="267" applyNumberFormat="1" applyFont="1" applyFill="1" applyBorder="1" applyAlignment="1">
      <alignment horizontal="left" vertical="top" wrapText="1"/>
      <protection/>
    </xf>
    <xf numFmtId="49" fontId="0" fillId="0" borderId="0" xfId="267" applyNumberFormat="1" applyFont="1" applyAlignment="1">
      <alignment horizontal="justify" vertical="top"/>
      <protection/>
    </xf>
    <xf numFmtId="49" fontId="0" fillId="0" borderId="0" xfId="267" applyNumberFormat="1" applyFont="1" applyBorder="1" applyAlignment="1">
      <alignment horizontal="justify" vertical="top" wrapText="1"/>
      <protection/>
    </xf>
    <xf numFmtId="49" fontId="0" fillId="0" borderId="0" xfId="267" applyNumberFormat="1" applyFont="1" applyBorder="1" applyAlignment="1">
      <alignment horizontal="justify" vertical="top"/>
      <protection/>
    </xf>
    <xf numFmtId="49" fontId="18" fillId="0" borderId="0" xfId="267" applyNumberFormat="1" applyFont="1" applyAlignment="1">
      <alignment horizontal="center" wrapText="1"/>
      <protection/>
    </xf>
    <xf numFmtId="49" fontId="80" fillId="0" borderId="0" xfId="267" applyNumberFormat="1" applyFont="1" applyAlignment="1">
      <alignment horizontal="center"/>
      <protection/>
    </xf>
    <xf numFmtId="49" fontId="6" fillId="0" borderId="20" xfId="267" applyNumberFormat="1" applyFont="1" applyFill="1" applyBorder="1" applyAlignment="1">
      <alignment horizontal="center" vertical="center"/>
      <protection/>
    </xf>
    <xf numFmtId="49" fontId="78" fillId="3" borderId="26" xfId="267" applyNumberFormat="1" applyFont="1" applyFill="1" applyBorder="1" applyAlignment="1">
      <alignment horizontal="center" vertical="center" wrapText="1"/>
      <protection/>
    </xf>
    <xf numFmtId="49" fontId="78" fillId="3" borderId="25" xfId="267" applyNumberFormat="1" applyFont="1" applyFill="1" applyBorder="1" applyAlignment="1">
      <alignment horizontal="center" vertical="center" wrapText="1"/>
      <protection/>
    </xf>
    <xf numFmtId="49" fontId="76" fillId="3" borderId="26" xfId="267" applyNumberFormat="1" applyFont="1" applyFill="1" applyBorder="1" applyAlignment="1">
      <alignment horizontal="center" vertical="center" wrapText="1"/>
      <protection/>
    </xf>
    <xf numFmtId="49" fontId="76" fillId="3" borderId="25" xfId="267" applyNumberFormat="1" applyFont="1" applyFill="1" applyBorder="1" applyAlignment="1">
      <alignment horizontal="center" vertical="center" wrapText="1"/>
      <protection/>
    </xf>
    <xf numFmtId="49" fontId="6" fillId="0" borderId="21" xfId="267" applyNumberFormat="1" applyFont="1" applyBorder="1" applyAlignment="1">
      <alignment horizontal="center" vertical="center" wrapText="1"/>
      <protection/>
    </xf>
    <xf numFmtId="49" fontId="6" fillId="0" borderId="38" xfId="267" applyNumberFormat="1" applyFont="1" applyBorder="1" applyAlignment="1">
      <alignment horizontal="center" vertical="center" wrapText="1"/>
      <protection/>
    </xf>
    <xf numFmtId="49" fontId="6" fillId="0" borderId="23" xfId="267" applyNumberFormat="1" applyFont="1" applyBorder="1" applyAlignment="1">
      <alignment horizontal="center" vertical="center" wrapText="1"/>
      <protection/>
    </xf>
    <xf numFmtId="49" fontId="32" fillId="0" borderId="0" xfId="267" applyNumberFormat="1" applyFont="1" applyBorder="1" applyAlignment="1">
      <alignment horizontal="left" wrapText="1"/>
      <protection/>
    </xf>
    <xf numFmtId="49" fontId="18" fillId="0" borderId="22" xfId="267" applyNumberFormat="1" applyFont="1" applyBorder="1" applyAlignment="1">
      <alignment horizontal="left"/>
      <protection/>
    </xf>
    <xf numFmtId="49" fontId="6" fillId="0" borderId="41" xfId="267" applyNumberFormat="1" applyFont="1" applyBorder="1" applyAlignment="1">
      <alignment horizontal="center" vertical="center" wrapText="1"/>
      <protection/>
    </xf>
    <xf numFmtId="49" fontId="19" fillId="0" borderId="0" xfId="267" applyNumberFormat="1" applyFont="1" applyAlignment="1">
      <alignment horizontal="center"/>
      <protection/>
    </xf>
    <xf numFmtId="49" fontId="7" fillId="0" borderId="0" xfId="267" applyNumberFormat="1" applyFont="1" applyAlignment="1">
      <alignment horizontal="left"/>
      <protection/>
    </xf>
    <xf numFmtId="49" fontId="13" fillId="0" borderId="0" xfId="267" applyNumberFormat="1" applyFont="1" applyBorder="1" applyAlignment="1">
      <alignment horizontal="left"/>
      <protection/>
    </xf>
    <xf numFmtId="49" fontId="7" fillId="0" borderId="26" xfId="267" applyNumberFormat="1" applyFont="1" applyBorder="1" applyAlignment="1">
      <alignment horizontal="center" vertical="center" wrapText="1"/>
      <protection/>
    </xf>
    <xf numFmtId="49" fontId="7" fillId="0" borderId="25" xfId="267" applyNumberFormat="1" applyFont="1" applyBorder="1" applyAlignment="1">
      <alignment horizontal="center" vertical="center" wrapText="1"/>
      <protection/>
    </xf>
    <xf numFmtId="49" fontId="4" fillId="0" borderId="0" xfId="267" applyNumberFormat="1" applyFont="1" applyAlignment="1">
      <alignment/>
      <protection/>
    </xf>
    <xf numFmtId="49" fontId="0" fillId="0" borderId="0" xfId="267" applyNumberFormat="1" applyFont="1" applyBorder="1" applyAlignment="1">
      <alignment horizontal="left"/>
      <protection/>
    </xf>
    <xf numFmtId="49" fontId="19" fillId="0" borderId="26" xfId="267" applyNumberFormat="1" applyFont="1" applyBorder="1" applyAlignment="1">
      <alignment horizontal="center" vertical="center" wrapText="1"/>
      <protection/>
    </xf>
    <xf numFmtId="49" fontId="19" fillId="0" borderId="25" xfId="267" applyNumberFormat="1" applyFont="1" applyBorder="1" applyAlignment="1">
      <alignment horizontal="center" vertical="center" wrapText="1"/>
      <protection/>
    </xf>
    <xf numFmtId="49" fontId="91" fillId="3" borderId="26" xfId="267" applyNumberFormat="1" applyFont="1" applyFill="1" applyBorder="1" applyAlignment="1">
      <alignment horizontal="center" vertical="center" wrapText="1"/>
      <protection/>
    </xf>
    <xf numFmtId="49" fontId="91" fillId="3" borderId="25" xfId="267" applyNumberFormat="1" applyFont="1" applyFill="1" applyBorder="1" applyAlignment="1">
      <alignment horizontal="center" vertical="center" wrapText="1"/>
      <protection/>
    </xf>
    <xf numFmtId="49" fontId="90" fillId="3" borderId="26" xfId="267" applyNumberFormat="1" applyFont="1" applyFill="1" applyBorder="1" applyAlignment="1">
      <alignment horizontal="center" vertical="center" wrapText="1"/>
      <protection/>
    </xf>
    <xf numFmtId="49" fontId="90" fillId="3" borderId="25" xfId="267" applyNumberFormat="1" applyFont="1" applyFill="1" applyBorder="1" applyAlignment="1">
      <alignment horizontal="center" vertical="center" wrapText="1"/>
      <protection/>
    </xf>
    <xf numFmtId="49" fontId="91" fillId="3" borderId="26" xfId="267" applyNumberFormat="1" applyFont="1" applyFill="1" applyBorder="1" applyAlignment="1">
      <alignment horizontal="center" vertical="center"/>
      <protection/>
    </xf>
    <xf numFmtId="49" fontId="91" fillId="3" borderId="25" xfId="267" applyNumberFormat="1" applyFont="1" applyFill="1" applyBorder="1" applyAlignment="1">
      <alignment horizontal="center" vertical="center"/>
      <protection/>
    </xf>
    <xf numFmtId="49" fontId="19" fillId="0" borderId="26" xfId="267" applyNumberFormat="1" applyFont="1" applyFill="1" applyBorder="1" applyAlignment="1">
      <alignment horizontal="center" vertical="center"/>
      <protection/>
    </xf>
    <xf numFmtId="49" fontId="19" fillId="0" borderId="25" xfId="267" applyNumberFormat="1" applyFont="1" applyFill="1" applyBorder="1" applyAlignment="1">
      <alignment horizontal="center" vertical="center"/>
      <protection/>
    </xf>
    <xf numFmtId="0" fontId="83" fillId="0" borderId="41" xfId="267" applyFont="1" applyFill="1" applyBorder="1" applyAlignment="1">
      <alignment horizontal="center" vertical="center" wrapText="1"/>
      <protection/>
    </xf>
    <xf numFmtId="0" fontId="83" fillId="0" borderId="25" xfId="267" applyFont="1" applyFill="1" applyBorder="1" applyAlignment="1">
      <alignment horizontal="center" vertical="center" wrapText="1"/>
      <protection/>
    </xf>
    <xf numFmtId="49" fontId="29" fillId="0" borderId="0" xfId="267" applyNumberFormat="1" applyFont="1" applyAlignment="1">
      <alignment horizontal="center"/>
      <protection/>
    </xf>
    <xf numFmtId="49" fontId="6" fillId="47" borderId="26" xfId="267" applyNumberFormat="1" applyFont="1" applyFill="1" applyBorder="1" applyAlignment="1">
      <alignment horizontal="center" vertical="center"/>
      <protection/>
    </xf>
    <xf numFmtId="49" fontId="6" fillId="47" borderId="25" xfId="267" applyNumberFormat="1" applyFont="1" applyFill="1" applyBorder="1" applyAlignment="1">
      <alignment horizontal="center" vertical="center"/>
      <protection/>
    </xf>
    <xf numFmtId="49" fontId="6" fillId="0" borderId="27" xfId="267" applyNumberFormat="1" applyFont="1" applyFill="1" applyBorder="1" applyAlignment="1">
      <alignment horizontal="center" vertical="center" wrapText="1"/>
      <protection/>
    </xf>
    <xf numFmtId="49" fontId="6" fillId="0" borderId="37" xfId="267" applyNumberFormat="1" applyFont="1" applyFill="1" applyBorder="1" applyAlignment="1">
      <alignment horizontal="center" vertical="center" wrapText="1"/>
      <protection/>
    </xf>
    <xf numFmtId="49" fontId="6" fillId="0" borderId="35" xfId="267" applyNumberFormat="1" applyFont="1" applyFill="1" applyBorder="1" applyAlignment="1">
      <alignment horizontal="center" vertical="center" wrapText="1"/>
      <protection/>
    </xf>
    <xf numFmtId="49" fontId="6" fillId="0" borderId="36" xfId="267" applyNumberFormat="1" applyFont="1" applyFill="1" applyBorder="1" applyAlignment="1">
      <alignment horizontal="center" vertical="center" wrapText="1"/>
      <protection/>
    </xf>
    <xf numFmtId="49" fontId="6" fillId="0" borderId="24" xfId="267" applyNumberFormat="1" applyFont="1" applyFill="1" applyBorder="1" applyAlignment="1">
      <alignment horizontal="center" vertical="center" wrapText="1"/>
      <protection/>
    </xf>
    <xf numFmtId="49" fontId="6" fillId="0" borderId="40" xfId="267" applyNumberFormat="1" applyFont="1" applyFill="1" applyBorder="1" applyAlignment="1">
      <alignment horizontal="center" vertical="center" wrapText="1"/>
      <protection/>
    </xf>
    <xf numFmtId="49" fontId="6" fillId="0" borderId="41" xfId="267" applyNumberFormat="1" applyFont="1" applyFill="1" applyBorder="1" applyAlignment="1">
      <alignment horizontal="center" vertical="center" wrapText="1"/>
      <protection/>
    </xf>
    <xf numFmtId="49" fontId="90" fillId="3" borderId="26" xfId="267" applyNumberFormat="1" applyFont="1" applyFill="1" applyBorder="1" applyAlignment="1">
      <alignment horizontal="center" vertical="center"/>
      <protection/>
    </xf>
    <xf numFmtId="49" fontId="90" fillId="3" borderId="25" xfId="267" applyNumberFormat="1" applyFont="1" applyFill="1" applyBorder="1" applyAlignment="1">
      <alignment horizontal="center" vertical="center"/>
      <protection/>
    </xf>
    <xf numFmtId="49" fontId="0" fillId="0" borderId="0" xfId="267" applyNumberFormat="1" applyFont="1" applyFill="1" applyAlignment="1">
      <alignment horizontal="left"/>
      <protection/>
    </xf>
    <xf numFmtId="49" fontId="13" fillId="0" borderId="22" xfId="267" applyNumberFormat="1" applyFont="1" applyFill="1" applyBorder="1" applyAlignment="1">
      <alignment horizontal="center" vertical="center"/>
      <protection/>
    </xf>
    <xf numFmtId="49" fontId="18" fillId="0" borderId="0" xfId="267" applyNumberFormat="1" applyFont="1" applyFill="1" applyBorder="1" applyAlignment="1">
      <alignment horizontal="left"/>
      <protection/>
    </xf>
    <xf numFmtId="0" fontId="25" fillId="0" borderId="0" xfId="267" applyFont="1" applyAlignment="1">
      <alignment horizontal="center"/>
      <protection/>
    </xf>
    <xf numFmtId="0" fontId="7" fillId="0" borderId="20" xfId="267" applyFont="1" applyFill="1" applyBorder="1" applyAlignment="1">
      <alignment horizontal="center" vertical="center" wrapText="1"/>
      <protection/>
    </xf>
    <xf numFmtId="0" fontId="29" fillId="47" borderId="0" xfId="267" applyFont="1" applyFill="1" applyBorder="1" applyAlignment="1">
      <alignment horizontal="center"/>
      <protection/>
    </xf>
    <xf numFmtId="49" fontId="7" fillId="0" borderId="35" xfId="267" applyNumberFormat="1" applyFont="1" applyFill="1" applyBorder="1" applyAlignment="1">
      <alignment horizontal="center" vertical="center"/>
      <protection/>
    </xf>
    <xf numFmtId="49" fontId="7" fillId="0" borderId="36" xfId="267" applyNumberFormat="1" applyFont="1" applyFill="1" applyBorder="1" applyAlignment="1">
      <alignment horizontal="center" vertical="center"/>
      <protection/>
    </xf>
    <xf numFmtId="49" fontId="7" fillId="0" borderId="24" xfId="267" applyNumberFormat="1" applyFont="1" applyFill="1" applyBorder="1" applyAlignment="1">
      <alignment horizontal="center" vertical="center"/>
      <protection/>
    </xf>
    <xf numFmtId="49" fontId="7" fillId="0" borderId="40" xfId="267" applyNumberFormat="1" applyFont="1" applyFill="1" applyBorder="1" applyAlignment="1">
      <alignment horizontal="center" vertical="center"/>
      <protection/>
    </xf>
    <xf numFmtId="49" fontId="7" fillId="0" borderId="27" xfId="267" applyNumberFormat="1" applyFont="1" applyFill="1" applyBorder="1" applyAlignment="1">
      <alignment horizontal="center" vertical="center"/>
      <protection/>
    </xf>
    <xf numFmtId="49" fontId="7" fillId="0" borderId="37" xfId="267" applyNumberFormat="1" applyFont="1" applyFill="1" applyBorder="1" applyAlignment="1">
      <alignment horizontal="center" vertical="center"/>
      <protection/>
    </xf>
    <xf numFmtId="0" fontId="18" fillId="0" borderId="0" xfId="267" applyFont="1" applyBorder="1" applyAlignment="1">
      <alignment horizontal="left"/>
      <protection/>
    </xf>
    <xf numFmtId="0" fontId="13" fillId="0" borderId="0" xfId="267" applyFont="1" applyAlignment="1">
      <alignment horizontal="center"/>
      <protection/>
    </xf>
    <xf numFmtId="49" fontId="32" fillId="0" borderId="0" xfId="267" applyNumberFormat="1" applyFont="1" applyBorder="1" applyAlignment="1">
      <alignment horizontal="justify" vertical="justify" wrapText="1"/>
      <protection/>
    </xf>
    <xf numFmtId="0" fontId="14" fillId="0" borderId="0" xfId="267" applyNumberFormat="1" applyFont="1" applyAlignment="1">
      <alignment horizontal="center"/>
      <protection/>
    </xf>
    <xf numFmtId="0" fontId="34" fillId="0" borderId="0" xfId="267" applyNumberFormat="1" applyFont="1" applyAlignment="1">
      <alignment horizontal="center"/>
      <protection/>
    </xf>
    <xf numFmtId="0" fontId="23" fillId="0" borderId="0" xfId="267" applyNumberFormat="1" applyFont="1" applyAlignment="1">
      <alignment horizontal="center"/>
      <protection/>
    </xf>
    <xf numFmtId="49" fontId="25" fillId="47" borderId="42" xfId="0" applyNumberFormat="1" applyFont="1" applyFill="1" applyBorder="1" applyAlignment="1">
      <alignment horizontal="center" vertical="center"/>
    </xf>
    <xf numFmtId="49" fontId="25" fillId="47" borderId="43" xfId="0" applyNumberFormat="1" applyFont="1" applyFill="1" applyBorder="1" applyAlignment="1">
      <alignment horizontal="center" vertical="center"/>
    </xf>
    <xf numFmtId="49" fontId="101" fillId="47" borderId="26" xfId="0" applyNumberFormat="1" applyFont="1" applyFill="1" applyBorder="1" applyAlignment="1">
      <alignment horizontal="left"/>
    </xf>
    <xf numFmtId="49" fontId="101" fillId="47" borderId="41" xfId="0" applyNumberFormat="1" applyFont="1" applyFill="1" applyBorder="1" applyAlignment="1">
      <alignment horizontal="left"/>
    </xf>
    <xf numFmtId="49" fontId="101"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5" fillId="0" borderId="19" xfId="0" applyNumberFormat="1" applyFont="1" applyFill="1" applyBorder="1" applyAlignment="1">
      <alignment horizontal="center"/>
    </xf>
    <xf numFmtId="49" fontId="5"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49" fontId="30" fillId="0" borderId="20" xfId="0" applyNumberFormat="1" applyFont="1" applyFill="1" applyBorder="1" applyAlignment="1">
      <alignment horizontal="center" vertical="center" wrapText="1"/>
    </xf>
    <xf numFmtId="49" fontId="30" fillId="0" borderId="20" xfId="0" applyNumberFormat="1" applyFont="1" applyFill="1" applyBorder="1" applyAlignment="1" applyProtection="1">
      <alignment horizontal="center" vertical="center" wrapText="1"/>
      <protection/>
    </xf>
    <xf numFmtId="0" fontId="29" fillId="0" borderId="19" xfId="0" applyNumberFormat="1" applyFont="1" applyFill="1" applyBorder="1" applyAlignment="1">
      <alignment horizontal="center"/>
    </xf>
    <xf numFmtId="1" fontId="5"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wrapText="1"/>
    </xf>
    <xf numFmtId="0" fontId="4" fillId="0" borderId="35" xfId="0" applyNumberFormat="1" applyFont="1" applyFill="1" applyBorder="1" applyAlignment="1">
      <alignment horizontal="center" vertical="center" wrapText="1"/>
    </xf>
    <xf numFmtId="0" fontId="4" fillId="0" borderId="36"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4" fillId="0" borderId="37" xfId="0" applyNumberFormat="1" applyFont="1" applyFill="1" applyBorder="1" applyAlignment="1">
      <alignment horizontal="center" vertical="center" wrapText="1"/>
    </xf>
    <xf numFmtId="49" fontId="5" fillId="0" borderId="0" xfId="0" applyNumberFormat="1" applyFont="1" applyFill="1" applyAlignment="1">
      <alignment horizontal="center"/>
    </xf>
    <xf numFmtId="49" fontId="5" fillId="0" borderId="0" xfId="0" applyNumberFormat="1" applyFont="1" applyFill="1" applyAlignment="1">
      <alignment horizontal="center" wrapText="1"/>
    </xf>
    <xf numFmtId="0" fontId="19" fillId="0" borderId="0" xfId="0" applyNumberFormat="1" applyFont="1" applyFill="1" applyAlignment="1">
      <alignment horizontal="center"/>
    </xf>
    <xf numFmtId="49" fontId="5" fillId="0" borderId="20" xfId="0" applyNumberFormat="1" applyFont="1" applyFill="1" applyBorder="1" applyAlignment="1">
      <alignment horizontal="center" vertical="center" wrapText="1"/>
    </xf>
    <xf numFmtId="0" fontId="5" fillId="0" borderId="0" xfId="0" applyNumberFormat="1" applyFont="1" applyFill="1" applyBorder="1" applyAlignment="1">
      <alignment horizontal="left" wrapText="1"/>
    </xf>
    <xf numFmtId="0" fontId="29" fillId="0" borderId="0" xfId="0" applyNumberFormat="1" applyFont="1" applyFill="1" applyAlignment="1">
      <alignment horizontal="left"/>
    </xf>
    <xf numFmtId="0" fontId="6" fillId="0" borderId="0" xfId="0" applyNumberFormat="1" applyFont="1" applyFill="1" applyAlignment="1">
      <alignment horizontal="center"/>
    </xf>
    <xf numFmtId="0" fontId="25" fillId="0" borderId="0" xfId="0" applyNumberFormat="1" applyFont="1" applyFill="1" applyAlignment="1">
      <alignment horizontal="center"/>
    </xf>
    <xf numFmtId="49" fontId="13" fillId="0" borderId="44" xfId="0" applyNumberFormat="1" applyFont="1" applyFill="1" applyBorder="1" applyAlignment="1" applyProtection="1">
      <alignment horizontal="center" vertical="center" wrapText="1"/>
      <protection/>
    </xf>
    <xf numFmtId="49" fontId="13" fillId="0" borderId="25" xfId="0" applyNumberFormat="1" applyFont="1" applyFill="1" applyBorder="1" applyAlignment="1" applyProtection="1">
      <alignment horizontal="center" vertical="center" wrapText="1"/>
      <protection/>
    </xf>
    <xf numFmtId="49" fontId="5" fillId="50" borderId="26" xfId="0" applyNumberFormat="1" applyFont="1" applyFill="1" applyBorder="1" applyAlignment="1" applyProtection="1">
      <alignment horizontal="center" vertical="center" wrapText="1"/>
      <protection/>
    </xf>
    <xf numFmtId="49" fontId="5" fillId="50" borderId="25" xfId="0" applyNumberFormat="1" applyFont="1" applyFill="1" applyBorder="1" applyAlignment="1" applyProtection="1">
      <alignment horizontal="center" vertical="center" wrapText="1"/>
      <protection/>
    </xf>
    <xf numFmtId="49" fontId="8" fillId="50" borderId="26" xfId="0" applyNumberFormat="1" applyFont="1" applyFill="1" applyBorder="1" applyAlignment="1" applyProtection="1">
      <alignment horizontal="center" vertical="center" wrapText="1"/>
      <protection/>
    </xf>
    <xf numFmtId="49" fontId="8" fillId="50" borderId="25" xfId="0" applyNumberFormat="1" applyFont="1" applyFill="1" applyBorder="1" applyAlignment="1" applyProtection="1">
      <alignment horizontal="center" vertical="center" wrapText="1"/>
      <protection/>
    </xf>
    <xf numFmtId="0" fontId="8" fillId="0" borderId="45" xfId="0" applyNumberFormat="1" applyFont="1" applyFill="1" applyBorder="1" applyAlignment="1">
      <alignment horizontal="center" vertical="center" wrapText="1"/>
    </xf>
    <xf numFmtId="0" fontId="8" fillId="0" borderId="46" xfId="0" applyNumberFormat="1" applyFont="1" applyFill="1" applyBorder="1" applyAlignment="1">
      <alignment horizontal="center" vertical="center" wrapText="1"/>
    </xf>
    <xf numFmtId="0" fontId="8" fillId="0" borderId="4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210" fontId="107" fillId="0" borderId="46" xfId="0" applyNumberFormat="1" applyFont="1" applyFill="1" applyBorder="1" applyAlignment="1" applyProtection="1">
      <alignment horizontal="center" vertical="center" wrapText="1"/>
      <protection/>
    </xf>
    <xf numFmtId="210" fontId="107" fillId="0" borderId="20" xfId="0" applyNumberFormat="1" applyFont="1" applyFill="1" applyBorder="1" applyAlignment="1" applyProtection="1">
      <alignment horizontal="center" vertical="center" wrapText="1"/>
      <protection/>
    </xf>
    <xf numFmtId="210" fontId="8" fillId="0" borderId="46" xfId="0" applyNumberFormat="1" applyFont="1" applyFill="1" applyBorder="1" applyAlignment="1" applyProtection="1">
      <alignment horizontal="center" vertical="center" wrapText="1"/>
      <protection/>
    </xf>
    <xf numFmtId="210" fontId="25" fillId="0" borderId="19" xfId="0" applyNumberFormat="1" applyFont="1" applyFill="1" applyBorder="1" applyAlignment="1">
      <alignment horizontal="center"/>
    </xf>
    <xf numFmtId="210" fontId="8" fillId="0" borderId="46" xfId="0" applyNumberFormat="1" applyFont="1" applyFill="1" applyBorder="1" applyAlignment="1">
      <alignment horizontal="center" vertical="center"/>
    </xf>
    <xf numFmtId="49" fontId="31" fillId="0" borderId="47" xfId="0" applyNumberFormat="1" applyFont="1" applyFill="1" applyBorder="1" applyAlignment="1" applyProtection="1">
      <alignment horizontal="center" vertical="center" wrapText="1"/>
      <protection/>
    </xf>
    <xf numFmtId="49" fontId="31" fillId="0" borderId="20" xfId="0" applyNumberFormat="1" applyFont="1" applyFill="1" applyBorder="1" applyAlignment="1" applyProtection="1">
      <alignment horizontal="center" vertical="center" wrapText="1"/>
      <protection/>
    </xf>
    <xf numFmtId="210" fontId="8" fillId="0" borderId="20" xfId="0" applyNumberFormat="1" applyFont="1" applyFill="1" applyBorder="1" applyAlignment="1" applyProtection="1">
      <alignment horizontal="center" vertical="center" wrapText="1"/>
      <protection/>
    </xf>
    <xf numFmtId="210" fontId="25" fillId="0" borderId="0" xfId="0" applyNumberFormat="1" applyFont="1" applyFill="1" applyAlignment="1">
      <alignment horizontal="center"/>
    </xf>
    <xf numFmtId="49" fontId="8" fillId="0" borderId="0" xfId="0" applyNumberFormat="1" applyFont="1" applyFill="1" applyAlignment="1">
      <alignment horizontal="left"/>
    </xf>
    <xf numFmtId="49" fontId="8" fillId="0" borderId="0" xfId="0" applyNumberFormat="1" applyFont="1" applyFill="1" applyBorder="1" applyAlignment="1">
      <alignment horizontal="left"/>
    </xf>
    <xf numFmtId="0" fontId="25" fillId="0" borderId="0" xfId="0" applyNumberFormat="1" applyFont="1" applyFill="1" applyAlignment="1">
      <alignment horizontal="center" wrapText="1"/>
    </xf>
    <xf numFmtId="210" fontId="107" fillId="0" borderId="20" xfId="0" applyNumberFormat="1" applyFont="1" applyFill="1" applyBorder="1" applyAlignment="1">
      <alignment horizontal="center" vertical="center" wrapText="1"/>
    </xf>
    <xf numFmtId="210" fontId="8" fillId="0" borderId="46" xfId="0" applyNumberFormat="1" applyFont="1" applyFill="1" applyBorder="1" applyAlignment="1">
      <alignment horizontal="center" vertical="center" wrapText="1"/>
    </xf>
    <xf numFmtId="210" fontId="8" fillId="0" borderId="20" xfId="0" applyNumberFormat="1" applyFont="1" applyFill="1" applyBorder="1" applyAlignment="1">
      <alignment horizontal="center" vertical="center" wrapText="1"/>
    </xf>
    <xf numFmtId="49" fontId="8" fillId="0" borderId="0" xfId="0" applyNumberFormat="1" applyFont="1" applyFill="1" applyBorder="1" applyAlignment="1">
      <alignment horizontal="left" wrapText="1"/>
    </xf>
    <xf numFmtId="49" fontId="8" fillId="0" borderId="48" xfId="0" applyNumberFormat="1" applyFont="1" applyFill="1" applyBorder="1" applyAlignment="1" applyProtection="1">
      <alignment horizontal="center" vertical="center" wrapText="1"/>
      <protection/>
    </xf>
    <xf numFmtId="49" fontId="8" fillId="0" borderId="39" xfId="0" applyNumberFormat="1" applyFont="1" applyFill="1" applyBorder="1" applyAlignment="1" applyProtection="1">
      <alignment horizontal="center" vertical="center" wrapText="1"/>
      <protection/>
    </xf>
    <xf numFmtId="49" fontId="31" fillId="0" borderId="49" xfId="0" applyNumberFormat="1" applyFont="1" applyFill="1" applyBorder="1" applyAlignment="1">
      <alignment horizontal="left"/>
    </xf>
    <xf numFmtId="210" fontId="8" fillId="0" borderId="0" xfId="0" applyNumberFormat="1" applyFont="1" applyFill="1" applyAlignment="1">
      <alignment horizontal="center"/>
    </xf>
    <xf numFmtId="210" fontId="8" fillId="0" borderId="0" xfId="0" applyNumberFormat="1" applyFont="1" applyFill="1" applyAlignment="1">
      <alignment horizontal="center" wrapText="1"/>
    </xf>
    <xf numFmtId="210" fontId="31" fillId="0" borderId="0" xfId="0" applyNumberFormat="1" applyFont="1" applyFill="1" applyAlignment="1">
      <alignment horizontal="center"/>
    </xf>
    <xf numFmtId="0" fontId="8" fillId="0" borderId="0" xfId="0" applyNumberFormat="1" applyFont="1" applyFill="1" applyBorder="1" applyAlignment="1">
      <alignment horizontal="left" wrapText="1"/>
    </xf>
  </cellXfs>
  <cellStyles count="28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2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_01" xfId="165"/>
    <cellStyle name="Normal 20" xfId="166"/>
    <cellStyle name="Normal 21" xfId="167"/>
    <cellStyle name="Normal 22" xfId="168"/>
    <cellStyle name="Normal 23" xfId="169"/>
    <cellStyle name="Normal 24" xfId="170"/>
    <cellStyle name="Normal 25" xfId="171"/>
    <cellStyle name="Normal 26" xfId="172"/>
    <cellStyle name="Normal 27" xfId="173"/>
    <cellStyle name="Normal 28" xfId="174"/>
    <cellStyle name="Normal 29" xfId="175"/>
    <cellStyle name="Normal 3" xfId="176"/>
    <cellStyle name="Normal 30" xfId="177"/>
    <cellStyle name="Normal 31" xfId="178"/>
    <cellStyle name="Normal 32" xfId="179"/>
    <cellStyle name="Normal 33" xfId="180"/>
    <cellStyle name="Normal 34" xfId="181"/>
    <cellStyle name="Normal 35" xfId="182"/>
    <cellStyle name="Normal 4" xfId="183"/>
    <cellStyle name="Normal 5" xfId="184"/>
    <cellStyle name="Normal 5 10" xfId="185"/>
    <cellStyle name="Normal 5 11" xfId="186"/>
    <cellStyle name="Normal 5 12" xfId="187"/>
    <cellStyle name="Normal 5 13" xfId="188"/>
    <cellStyle name="Normal 5 14" xfId="189"/>
    <cellStyle name="Normal 5 15" xfId="190"/>
    <cellStyle name="Normal 5 16" xfId="191"/>
    <cellStyle name="Normal 5 17" xfId="192"/>
    <cellStyle name="Normal 5 18" xfId="193"/>
    <cellStyle name="Normal 5 19" xfId="194"/>
    <cellStyle name="Normal 5 2" xfId="195"/>
    <cellStyle name="Normal 5 20" xfId="196"/>
    <cellStyle name="Normal 5 3" xfId="197"/>
    <cellStyle name="Normal 5 4" xfId="198"/>
    <cellStyle name="Normal 5 5" xfId="199"/>
    <cellStyle name="Normal 5 6" xfId="200"/>
    <cellStyle name="Normal 5 7" xfId="201"/>
    <cellStyle name="Normal 5 8" xfId="202"/>
    <cellStyle name="Normal 5 9" xfId="203"/>
    <cellStyle name="Normal 6" xfId="204"/>
    <cellStyle name="Normal 6 10" xfId="205"/>
    <cellStyle name="Normal 6 11" xfId="206"/>
    <cellStyle name="Normal 6 12" xfId="207"/>
    <cellStyle name="Normal 6 13" xfId="208"/>
    <cellStyle name="Normal 6 14" xfId="209"/>
    <cellStyle name="Normal 6 15" xfId="210"/>
    <cellStyle name="Normal 6 16" xfId="211"/>
    <cellStyle name="Normal 6 17" xfId="212"/>
    <cellStyle name="Normal 6 18" xfId="213"/>
    <cellStyle name="Normal 6 2" xfId="214"/>
    <cellStyle name="Normal 6 3" xfId="215"/>
    <cellStyle name="Normal 6 4" xfId="216"/>
    <cellStyle name="Normal 6 5" xfId="217"/>
    <cellStyle name="Normal 6 6" xfId="218"/>
    <cellStyle name="Normal 6 7" xfId="219"/>
    <cellStyle name="Normal 6 8" xfId="220"/>
    <cellStyle name="Normal 6 9" xfId="221"/>
    <cellStyle name="Normal 7" xfId="222"/>
    <cellStyle name="Normal 7 10" xfId="223"/>
    <cellStyle name="Normal 7 11" xfId="224"/>
    <cellStyle name="Normal 7 12" xfId="225"/>
    <cellStyle name="Normal 7 13" xfId="226"/>
    <cellStyle name="Normal 7 14" xfId="227"/>
    <cellStyle name="Normal 7 15" xfId="228"/>
    <cellStyle name="Normal 7 16" xfId="229"/>
    <cellStyle name="Normal 7 2" xfId="230"/>
    <cellStyle name="Normal 7 3" xfId="231"/>
    <cellStyle name="Normal 7 4" xfId="232"/>
    <cellStyle name="Normal 7 5" xfId="233"/>
    <cellStyle name="Normal 7 6" xfId="234"/>
    <cellStyle name="Normal 7 7" xfId="235"/>
    <cellStyle name="Normal 7 8" xfId="236"/>
    <cellStyle name="Normal 7 9" xfId="237"/>
    <cellStyle name="Normal 8" xfId="238"/>
    <cellStyle name="Normal 8 10" xfId="239"/>
    <cellStyle name="Normal 8 11" xfId="240"/>
    <cellStyle name="Normal 8 12" xfId="241"/>
    <cellStyle name="Normal 8 13" xfId="242"/>
    <cellStyle name="Normal 8 14" xfId="243"/>
    <cellStyle name="Normal 8 2" xfId="244"/>
    <cellStyle name="Normal 8 3" xfId="245"/>
    <cellStyle name="Normal 8 4" xfId="246"/>
    <cellStyle name="Normal 8 5" xfId="247"/>
    <cellStyle name="Normal 8 6" xfId="248"/>
    <cellStyle name="Normal 8 7" xfId="249"/>
    <cellStyle name="Normal 8 8" xfId="250"/>
    <cellStyle name="Normal 8 9" xfId="251"/>
    <cellStyle name="Normal 9" xfId="252"/>
    <cellStyle name="Normal 9 10" xfId="253"/>
    <cellStyle name="Normal 9 11" xfId="254"/>
    <cellStyle name="Normal 9 12" xfId="255"/>
    <cellStyle name="Normal 9 2" xfId="256"/>
    <cellStyle name="Normal 9 3" xfId="257"/>
    <cellStyle name="Normal 9 4" xfId="258"/>
    <cellStyle name="Normal 9 5" xfId="259"/>
    <cellStyle name="Normal 9 6" xfId="260"/>
    <cellStyle name="Normal 9 7" xfId="261"/>
    <cellStyle name="Normal 9 8" xfId="262"/>
    <cellStyle name="Normal 9 9" xfId="263"/>
    <cellStyle name="Normal_1. (Goc) THONG KE TT01 Toàn tỉnh Hoa Binh 6 tháng 2013" xfId="264"/>
    <cellStyle name="Normal_19 bieu m nhapcong thuc da sao 11 don vi " xfId="265"/>
    <cellStyle name="Normal_Bieu 8 - Bieu 19 toan tinh" xfId="266"/>
    <cellStyle name="Normal_Bieu mau TK tu 11 den 19 (ban phat hanh)" xfId="267"/>
    <cellStyle name="Normal_Sheet1" xfId="268"/>
    <cellStyle name="Note" xfId="269"/>
    <cellStyle name="Note 2" xfId="270"/>
    <cellStyle name="Note 3" xfId="271"/>
    <cellStyle name="Output" xfId="272"/>
    <cellStyle name="Output 2" xfId="273"/>
    <cellStyle name="Output 3" xfId="274"/>
    <cellStyle name="Percent" xfId="275"/>
    <cellStyle name="Percent 10" xfId="276"/>
    <cellStyle name="Percent 11" xfId="277"/>
    <cellStyle name="Percent 13" xfId="278"/>
    <cellStyle name="Percent 14" xfId="279"/>
    <cellStyle name="Percent 2" xfId="280"/>
    <cellStyle name="Percent 2 2" xfId="281"/>
    <cellStyle name="Percent 2 2 2" xfId="282"/>
    <cellStyle name="Percent 2 2 2 2" xfId="283"/>
    <cellStyle name="Percent 2 3" xfId="284"/>
    <cellStyle name="Percent 3" xfId="285"/>
    <cellStyle name="Title" xfId="286"/>
    <cellStyle name="Title 2" xfId="287"/>
    <cellStyle name="Title 3" xfId="288"/>
    <cellStyle name="Total" xfId="289"/>
    <cellStyle name="Total 2" xfId="290"/>
    <cellStyle name="Total 3" xfId="291"/>
    <cellStyle name="Warning Text" xfId="292"/>
    <cellStyle name="Warning Text 2" xfId="293"/>
    <cellStyle name="Warning Text 3" xfId="294"/>
  </cellStyles>
  <dxfs count="1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24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240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097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90" t="s">
        <v>26</v>
      </c>
      <c r="B1" s="590"/>
      <c r="C1" s="596" t="s">
        <v>72</v>
      </c>
      <c r="D1" s="596"/>
      <c r="E1" s="596"/>
      <c r="F1" s="591" t="s">
        <v>68</v>
      </c>
      <c r="G1" s="591"/>
      <c r="H1" s="591"/>
    </row>
    <row r="2" spans="1:8" ht="33.75" customHeight="1">
      <c r="A2" s="592" t="s">
        <v>75</v>
      </c>
      <c r="B2" s="592"/>
      <c r="C2" s="596"/>
      <c r="D2" s="596"/>
      <c r="E2" s="596"/>
      <c r="F2" s="593" t="s">
        <v>69</v>
      </c>
      <c r="G2" s="593"/>
      <c r="H2" s="593"/>
    </row>
    <row r="3" spans="1:8" ht="19.5" customHeight="1">
      <c r="A3" s="6" t="s">
        <v>63</v>
      </c>
      <c r="B3" s="6"/>
      <c r="C3" s="24"/>
      <c r="D3" s="24"/>
      <c r="E3" s="24"/>
      <c r="F3" s="593" t="s">
        <v>70</v>
      </c>
      <c r="G3" s="593"/>
      <c r="H3" s="593"/>
    </row>
    <row r="4" spans="1:8" s="7" customFormat="1" ht="19.5" customHeight="1">
      <c r="A4" s="6"/>
      <c r="B4" s="6"/>
      <c r="D4" s="8"/>
      <c r="F4" s="9" t="s">
        <v>71</v>
      </c>
      <c r="G4" s="9"/>
      <c r="H4" s="9"/>
    </row>
    <row r="5" spans="1:8" s="23" customFormat="1" ht="36" customHeight="1">
      <c r="A5" s="609" t="s">
        <v>55</v>
      </c>
      <c r="B5" s="610"/>
      <c r="C5" s="613" t="s">
        <v>66</v>
      </c>
      <c r="D5" s="614"/>
      <c r="E5" s="615" t="s">
        <v>65</v>
      </c>
      <c r="F5" s="615"/>
      <c r="G5" s="615"/>
      <c r="H5" s="595"/>
    </row>
    <row r="6" spans="1:8" s="23" customFormat="1" ht="20.25" customHeight="1">
      <c r="A6" s="611"/>
      <c r="B6" s="612"/>
      <c r="C6" s="597" t="s">
        <v>3</v>
      </c>
      <c r="D6" s="597" t="s">
        <v>73</v>
      </c>
      <c r="E6" s="594" t="s">
        <v>67</v>
      </c>
      <c r="F6" s="595"/>
      <c r="G6" s="594" t="s">
        <v>74</v>
      </c>
      <c r="H6" s="595"/>
    </row>
    <row r="7" spans="1:8" s="23" customFormat="1" ht="52.5" customHeight="1">
      <c r="A7" s="611"/>
      <c r="B7" s="612"/>
      <c r="C7" s="598"/>
      <c r="D7" s="598"/>
      <c r="E7" s="5" t="s">
        <v>3</v>
      </c>
      <c r="F7" s="5" t="s">
        <v>9</v>
      </c>
      <c r="G7" s="5" t="s">
        <v>3</v>
      </c>
      <c r="H7" s="5" t="s">
        <v>9</v>
      </c>
    </row>
    <row r="8" spans="1:8" ht="15" customHeight="1">
      <c r="A8" s="600" t="s">
        <v>6</v>
      </c>
      <c r="B8" s="601"/>
      <c r="C8" s="10">
        <v>1</v>
      </c>
      <c r="D8" s="10" t="s">
        <v>44</v>
      </c>
      <c r="E8" s="10" t="s">
        <v>47</v>
      </c>
      <c r="F8" s="10" t="s">
        <v>56</v>
      </c>
      <c r="G8" s="10" t="s">
        <v>57</v>
      </c>
      <c r="H8" s="10" t="s">
        <v>58</v>
      </c>
    </row>
    <row r="9" spans="1:8" ht="26.25" customHeight="1">
      <c r="A9" s="602" t="s">
        <v>33</v>
      </c>
      <c r="B9" s="60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47</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604" t="s">
        <v>54</v>
      </c>
      <c r="C16" s="604"/>
      <c r="D16" s="26"/>
      <c r="E16" s="606" t="s">
        <v>19</v>
      </c>
      <c r="F16" s="606"/>
      <c r="G16" s="606"/>
      <c r="H16" s="606"/>
    </row>
    <row r="17" spans="2:8" ht="15.75" customHeight="1">
      <c r="B17" s="604"/>
      <c r="C17" s="604"/>
      <c r="D17" s="26"/>
      <c r="E17" s="607" t="s">
        <v>38</v>
      </c>
      <c r="F17" s="607"/>
      <c r="G17" s="607"/>
      <c r="H17" s="607"/>
    </row>
    <row r="18" spans="2:8" s="27" customFormat="1" ht="15.75" customHeight="1">
      <c r="B18" s="604"/>
      <c r="C18" s="604"/>
      <c r="D18" s="28"/>
      <c r="E18" s="608" t="s">
        <v>53</v>
      </c>
      <c r="F18" s="608"/>
      <c r="G18" s="608"/>
      <c r="H18" s="608"/>
    </row>
    <row r="20" ht="15.75">
      <c r="B20" s="19"/>
    </row>
    <row r="22" ht="15.75" hidden="1">
      <c r="A22" s="20" t="s">
        <v>41</v>
      </c>
    </row>
    <row r="23" spans="1:3" ht="15.75" hidden="1">
      <c r="A23" s="21"/>
      <c r="B23" s="605" t="s">
        <v>48</v>
      </c>
      <c r="C23" s="605"/>
    </row>
    <row r="24" spans="1:8" ht="15.75" customHeight="1" hidden="1">
      <c r="A24" s="22" t="s">
        <v>25</v>
      </c>
      <c r="B24" s="599" t="s">
        <v>51</v>
      </c>
      <c r="C24" s="599"/>
      <c r="D24" s="22"/>
      <c r="E24" s="22"/>
      <c r="F24" s="22"/>
      <c r="G24" s="22"/>
      <c r="H24" s="22"/>
    </row>
    <row r="25" spans="1:8" ht="15" customHeight="1" hidden="1">
      <c r="A25" s="22"/>
      <c r="B25" s="599" t="s">
        <v>52</v>
      </c>
      <c r="C25" s="599"/>
      <c r="D25" s="599"/>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801" t="s">
        <v>223</v>
      </c>
      <c r="B1" s="801"/>
      <c r="C1" s="801"/>
      <c r="D1" s="804" t="s">
        <v>339</v>
      </c>
      <c r="E1" s="804"/>
      <c r="F1" s="804"/>
      <c r="G1" s="804"/>
      <c r="H1" s="804"/>
      <c r="I1" s="804"/>
      <c r="J1" s="191" t="s">
        <v>340</v>
      </c>
      <c r="K1" s="322"/>
      <c r="L1" s="322"/>
    </row>
    <row r="2" spans="1:12" ht="18.75" customHeight="1">
      <c r="A2" s="802" t="s">
        <v>298</v>
      </c>
      <c r="B2" s="802"/>
      <c r="C2" s="802"/>
      <c r="D2" s="882" t="s">
        <v>224</v>
      </c>
      <c r="E2" s="882"/>
      <c r="F2" s="882"/>
      <c r="G2" s="882"/>
      <c r="H2" s="882"/>
      <c r="I2" s="882"/>
      <c r="J2" s="801" t="s">
        <v>341</v>
      </c>
      <c r="K2" s="801"/>
      <c r="L2" s="801"/>
    </row>
    <row r="3" spans="1:12" ht="17.25">
      <c r="A3" s="802" t="s">
        <v>250</v>
      </c>
      <c r="B3" s="802"/>
      <c r="C3" s="802"/>
      <c r="D3" s="883" t="s">
        <v>342</v>
      </c>
      <c r="E3" s="884"/>
      <c r="F3" s="884"/>
      <c r="G3" s="884"/>
      <c r="H3" s="884"/>
      <c r="I3" s="884"/>
      <c r="J3" s="194" t="s">
        <v>358</v>
      </c>
      <c r="K3" s="194"/>
      <c r="L3" s="194"/>
    </row>
    <row r="4" spans="1:12" ht="15.75">
      <c r="A4" s="879" t="s">
        <v>343</v>
      </c>
      <c r="B4" s="879"/>
      <c r="C4" s="879"/>
      <c r="D4" s="880"/>
      <c r="E4" s="880"/>
      <c r="F4" s="880"/>
      <c r="G4" s="880"/>
      <c r="H4" s="880"/>
      <c r="I4" s="880"/>
      <c r="J4" s="809" t="s">
        <v>300</v>
      </c>
      <c r="K4" s="809"/>
      <c r="L4" s="809"/>
    </row>
    <row r="5" spans="1:13" ht="15.75">
      <c r="A5" s="324"/>
      <c r="B5" s="324"/>
      <c r="C5" s="325"/>
      <c r="D5" s="325"/>
      <c r="E5" s="193"/>
      <c r="J5" s="326" t="s">
        <v>344</v>
      </c>
      <c r="K5" s="241"/>
      <c r="L5" s="241"/>
      <c r="M5" s="241"/>
    </row>
    <row r="6" spans="1:13" s="329" customFormat="1" ht="24.75" customHeight="1">
      <c r="A6" s="873" t="s">
        <v>55</v>
      </c>
      <c r="B6" s="874"/>
      <c r="C6" s="871" t="s">
        <v>345</v>
      </c>
      <c r="D6" s="871"/>
      <c r="E6" s="871"/>
      <c r="F6" s="871"/>
      <c r="G6" s="871"/>
      <c r="H6" s="871"/>
      <c r="I6" s="871" t="s">
        <v>225</v>
      </c>
      <c r="J6" s="871"/>
      <c r="K6" s="871"/>
      <c r="L6" s="871"/>
      <c r="M6" s="328"/>
    </row>
    <row r="7" spans="1:13" s="329" customFormat="1" ht="17.25" customHeight="1">
      <c r="A7" s="875"/>
      <c r="B7" s="876"/>
      <c r="C7" s="871" t="s">
        <v>31</v>
      </c>
      <c r="D7" s="871"/>
      <c r="E7" s="871" t="s">
        <v>7</v>
      </c>
      <c r="F7" s="871"/>
      <c r="G7" s="871"/>
      <c r="H7" s="871"/>
      <c r="I7" s="871" t="s">
        <v>226</v>
      </c>
      <c r="J7" s="871"/>
      <c r="K7" s="871" t="s">
        <v>227</v>
      </c>
      <c r="L7" s="871"/>
      <c r="M7" s="328"/>
    </row>
    <row r="8" spans="1:12" s="329" customFormat="1" ht="27.75" customHeight="1">
      <c r="A8" s="875"/>
      <c r="B8" s="876"/>
      <c r="C8" s="871"/>
      <c r="D8" s="871"/>
      <c r="E8" s="871" t="s">
        <v>228</v>
      </c>
      <c r="F8" s="871"/>
      <c r="G8" s="871" t="s">
        <v>229</v>
      </c>
      <c r="H8" s="871"/>
      <c r="I8" s="871"/>
      <c r="J8" s="871"/>
      <c r="K8" s="871"/>
      <c r="L8" s="871"/>
    </row>
    <row r="9" spans="1:12" s="329" customFormat="1" ht="24.75" customHeight="1">
      <c r="A9" s="877"/>
      <c r="B9" s="878"/>
      <c r="C9" s="327" t="s">
        <v>230</v>
      </c>
      <c r="D9" s="327" t="s">
        <v>9</v>
      </c>
      <c r="E9" s="327" t="s">
        <v>3</v>
      </c>
      <c r="F9" s="327" t="s">
        <v>231</v>
      </c>
      <c r="G9" s="327" t="s">
        <v>3</v>
      </c>
      <c r="H9" s="327" t="s">
        <v>231</v>
      </c>
      <c r="I9" s="327" t="s">
        <v>3</v>
      </c>
      <c r="J9" s="327" t="s">
        <v>231</v>
      </c>
      <c r="K9" s="327" t="s">
        <v>3</v>
      </c>
      <c r="L9" s="327" t="s">
        <v>231</v>
      </c>
    </row>
    <row r="10" spans="1:12" s="331" customFormat="1" ht="15.75">
      <c r="A10" s="772" t="s">
        <v>6</v>
      </c>
      <c r="B10" s="773"/>
      <c r="C10" s="330">
        <v>1</v>
      </c>
      <c r="D10" s="330">
        <v>2</v>
      </c>
      <c r="E10" s="330">
        <v>3</v>
      </c>
      <c r="F10" s="330">
        <v>4</v>
      </c>
      <c r="G10" s="330">
        <v>5</v>
      </c>
      <c r="H10" s="330">
        <v>6</v>
      </c>
      <c r="I10" s="330">
        <v>7</v>
      </c>
      <c r="J10" s="330">
        <v>8</v>
      </c>
      <c r="K10" s="330">
        <v>9</v>
      </c>
      <c r="L10" s="330">
        <v>10</v>
      </c>
    </row>
    <row r="11" spans="1:12" s="331" customFormat="1" ht="30.75" customHeight="1">
      <c r="A11" s="784" t="s">
        <v>295</v>
      </c>
      <c r="B11" s="785"/>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94" t="s">
        <v>296</v>
      </c>
      <c r="B12" s="795"/>
      <c r="C12" s="249">
        <v>0</v>
      </c>
      <c r="D12" s="249">
        <v>0</v>
      </c>
      <c r="E12" s="249">
        <v>0</v>
      </c>
      <c r="F12" s="249">
        <v>0</v>
      </c>
      <c r="G12" s="249">
        <v>0</v>
      </c>
      <c r="H12" s="249">
        <v>0</v>
      </c>
      <c r="I12" s="249">
        <v>0</v>
      </c>
      <c r="J12" s="249">
        <v>0</v>
      </c>
      <c r="K12" s="249">
        <v>0</v>
      </c>
      <c r="L12" s="249">
        <v>0</v>
      </c>
    </row>
    <row r="13" spans="1:32" s="331" customFormat="1" ht="17.25" customHeight="1">
      <c r="A13" s="781" t="s">
        <v>30</v>
      </c>
      <c r="B13" s="777"/>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78</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265</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297</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268</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269</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270</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271</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276</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278</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279</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280</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282</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97" t="s">
        <v>283</v>
      </c>
      <c r="C28" s="797"/>
      <c r="D28" s="797"/>
      <c r="E28" s="204"/>
      <c r="F28" s="258"/>
      <c r="G28" s="258"/>
      <c r="H28" s="796" t="s">
        <v>283</v>
      </c>
      <c r="I28" s="796"/>
      <c r="J28" s="796"/>
      <c r="K28" s="796"/>
      <c r="L28" s="796"/>
      <c r="AG28" s="192" t="s">
        <v>284</v>
      </c>
      <c r="AI28" s="190">
        <f>82/88</f>
        <v>0.9318181818181818</v>
      </c>
    </row>
    <row r="29" spans="1:12" s="192" customFormat="1" ht="19.5" customHeight="1">
      <c r="A29" s="202"/>
      <c r="B29" s="798" t="s">
        <v>232</v>
      </c>
      <c r="C29" s="798"/>
      <c r="D29" s="798"/>
      <c r="E29" s="204"/>
      <c r="F29" s="205"/>
      <c r="G29" s="205"/>
      <c r="H29" s="799" t="s">
        <v>150</v>
      </c>
      <c r="I29" s="799"/>
      <c r="J29" s="799"/>
      <c r="K29" s="799"/>
      <c r="L29" s="799"/>
    </row>
    <row r="30" spans="1:12" s="196" customFormat="1" ht="15" customHeight="1">
      <c r="A30" s="202"/>
      <c r="B30" s="872"/>
      <c r="C30" s="872"/>
      <c r="D30" s="872"/>
      <c r="E30" s="204"/>
      <c r="F30" s="205"/>
      <c r="G30" s="205"/>
      <c r="H30" s="744"/>
      <c r="I30" s="744"/>
      <c r="J30" s="744"/>
      <c r="K30" s="744"/>
      <c r="L30" s="744"/>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70" t="s">
        <v>287</v>
      </c>
      <c r="C33" s="870"/>
      <c r="D33" s="870"/>
      <c r="E33" s="336"/>
      <c r="F33" s="336"/>
      <c r="G33" s="336"/>
      <c r="H33" s="336"/>
      <c r="I33" s="336"/>
      <c r="J33" s="337" t="s">
        <v>287</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81" t="s">
        <v>233</v>
      </c>
      <c r="C37" s="881"/>
      <c r="D37" s="881"/>
      <c r="E37" s="881"/>
      <c r="F37" s="881"/>
      <c r="G37" s="881"/>
      <c r="H37" s="881"/>
      <c r="I37" s="881"/>
      <c r="J37" s="881"/>
      <c r="K37" s="339"/>
      <c r="L37" s="294"/>
      <c r="M37" s="265"/>
      <c r="N37" s="265"/>
      <c r="O37" s="265"/>
    </row>
    <row r="38" spans="2:12" s="184" customFormat="1" ht="18.75" hidden="1">
      <c r="B38" s="236" t="s">
        <v>234</v>
      </c>
      <c r="C38" s="186"/>
      <c r="D38" s="186"/>
      <c r="E38" s="186"/>
      <c r="F38" s="186"/>
      <c r="G38" s="186"/>
      <c r="H38" s="186"/>
      <c r="I38" s="186"/>
      <c r="J38" s="186"/>
      <c r="K38" s="338"/>
      <c r="L38" s="186"/>
    </row>
    <row r="39" spans="2:12" ht="18.75" hidden="1">
      <c r="B39" s="340" t="s">
        <v>235</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616" t="s">
        <v>329</v>
      </c>
      <c r="C41" s="616"/>
      <c r="D41" s="616"/>
      <c r="E41" s="210"/>
      <c r="F41" s="210"/>
      <c r="G41" s="182"/>
      <c r="H41" s="617" t="s">
        <v>241</v>
      </c>
      <c r="I41" s="617"/>
      <c r="J41" s="617"/>
      <c r="K41" s="617"/>
      <c r="L41" s="617"/>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85" t="s">
        <v>371</v>
      </c>
      <c r="M1" s="886"/>
      <c r="N1" s="886"/>
      <c r="O1" s="365"/>
      <c r="P1" s="365"/>
      <c r="Q1" s="365"/>
      <c r="R1" s="365"/>
      <c r="S1" s="365"/>
      <c r="T1" s="365"/>
      <c r="U1" s="365"/>
      <c r="V1" s="365"/>
      <c r="W1" s="365"/>
      <c r="X1" s="365"/>
      <c r="Y1" s="366"/>
    </row>
    <row r="2" spans="11:17" ht="34.5" customHeight="1">
      <c r="K2" s="349"/>
      <c r="L2" s="887" t="s">
        <v>378</v>
      </c>
      <c r="M2" s="888"/>
      <c r="N2" s="889"/>
      <c r="O2" s="29"/>
      <c r="P2" s="351"/>
      <c r="Q2" s="347"/>
    </row>
    <row r="3" spans="11:18" ht="31.5" customHeight="1">
      <c r="K3" s="349"/>
      <c r="L3" s="354" t="s">
        <v>387</v>
      </c>
      <c r="M3" s="355">
        <f>'06'!C11</f>
        <v>11812</v>
      </c>
      <c r="N3" s="355"/>
      <c r="O3" s="355"/>
      <c r="P3" s="352"/>
      <c r="Q3" s="348"/>
      <c r="R3" s="345"/>
    </row>
    <row r="4" spans="11:18" ht="30" customHeight="1">
      <c r="K4" s="349"/>
      <c r="L4" s="356" t="s">
        <v>372</v>
      </c>
      <c r="M4" s="357">
        <f>'06'!D11</f>
        <v>8042</v>
      </c>
      <c r="N4" s="355"/>
      <c r="O4" s="355"/>
      <c r="P4" s="352"/>
      <c r="Q4" s="348"/>
      <c r="R4" s="345"/>
    </row>
    <row r="5" spans="11:18" ht="31.5" customHeight="1">
      <c r="K5" s="349"/>
      <c r="L5" s="356" t="s">
        <v>373</v>
      </c>
      <c r="M5" s="357">
        <f>'06'!E11</f>
        <v>3770</v>
      </c>
      <c r="N5" s="355"/>
      <c r="O5" s="355"/>
      <c r="P5" s="352"/>
      <c r="Q5" s="348"/>
      <c r="R5" s="345"/>
    </row>
    <row r="6" spans="11:18" ht="27" customHeight="1">
      <c r="K6" s="349"/>
      <c r="L6" s="354" t="s">
        <v>374</v>
      </c>
      <c r="M6" s="355">
        <f>'06'!F11</f>
        <v>97</v>
      </c>
      <c r="N6" s="355"/>
      <c r="O6" s="355"/>
      <c r="P6" s="352"/>
      <c r="Q6" s="348"/>
      <c r="R6" s="345"/>
    </row>
    <row r="7" spans="11:18" s="342" customFormat="1" ht="30" customHeight="1">
      <c r="K7" s="350"/>
      <c r="L7" s="358" t="s">
        <v>389</v>
      </c>
      <c r="M7" s="355">
        <f>'06'!H11</f>
        <v>11715</v>
      </c>
      <c r="N7" s="355"/>
      <c r="O7" s="355"/>
      <c r="P7" s="352"/>
      <c r="Q7" s="348"/>
      <c r="R7" s="345"/>
    </row>
    <row r="8" spans="11:18" ht="30.75" customHeight="1">
      <c r="K8" s="349"/>
      <c r="L8" s="359" t="s">
        <v>388</v>
      </c>
      <c r="M8" s="360">
        <f>'[7]M6 Tong hop Viec CHV '!$C$12</f>
        <v>1489</v>
      </c>
      <c r="N8" s="355"/>
      <c r="O8" s="355"/>
      <c r="P8" s="352"/>
      <c r="Q8" s="348"/>
      <c r="R8" s="345"/>
    </row>
    <row r="9" spans="11:18" ht="33" customHeight="1">
      <c r="K9" s="349"/>
      <c r="L9" s="367" t="s">
        <v>391</v>
      </c>
      <c r="M9" s="368">
        <f>(M7-M8)/M8</f>
        <v>6.867696440564137</v>
      </c>
      <c r="N9" s="355"/>
      <c r="O9" s="355"/>
      <c r="P9" s="352"/>
      <c r="Q9" s="348"/>
      <c r="R9" s="345"/>
    </row>
    <row r="10" spans="11:18" ht="33" customHeight="1">
      <c r="K10" s="349"/>
      <c r="L10" s="354" t="s">
        <v>390</v>
      </c>
      <c r="M10" s="355">
        <f>'06'!I11</f>
        <v>6491</v>
      </c>
      <c r="N10" s="355" t="s">
        <v>375</v>
      </c>
      <c r="O10" s="361">
        <f>M10/M7</f>
        <v>0.5540759709773794</v>
      </c>
      <c r="P10" s="352"/>
      <c r="Q10" s="348"/>
      <c r="R10" s="345"/>
    </row>
    <row r="11" spans="11:18" ht="22.5" customHeight="1">
      <c r="K11" s="349"/>
      <c r="L11" s="354" t="s">
        <v>392</v>
      </c>
      <c r="M11" s="355">
        <f>'06'!Q11</f>
        <v>5224</v>
      </c>
      <c r="N11" s="355" t="s">
        <v>375</v>
      </c>
      <c r="O11" s="361">
        <f>M11/M7</f>
        <v>0.44592402902262057</v>
      </c>
      <c r="P11" s="352"/>
      <c r="Q11" s="348"/>
      <c r="R11" s="345"/>
    </row>
    <row r="12" spans="11:18" ht="34.5" customHeight="1">
      <c r="K12" s="349"/>
      <c r="L12" s="354" t="s">
        <v>393</v>
      </c>
      <c r="M12" s="355">
        <f>'06'!J11+'06'!K11</f>
        <v>2715</v>
      </c>
      <c r="N12" s="354"/>
      <c r="O12" s="354"/>
      <c r="P12" s="346"/>
      <c r="R12" s="346"/>
    </row>
    <row r="13" spans="11:18" ht="33.75" customHeight="1">
      <c r="K13" s="349"/>
      <c r="L13" s="354" t="s">
        <v>394</v>
      </c>
      <c r="M13" s="361">
        <f>M12/M7</f>
        <v>0.23175416133162613</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395</v>
      </c>
      <c r="M16" s="360">
        <f>'[7]M6 Tong hop Viec CHV '!$H$12+'[7]M6 Tong hop Viec CHV '!$I$12+'[7]M6 Tong hop Viec CHV '!$K$12</f>
        <v>749</v>
      </c>
      <c r="N16" s="355"/>
      <c r="O16" s="355"/>
      <c r="P16" s="352"/>
      <c r="R16" s="346"/>
    </row>
    <row r="17" spans="11:18" ht="24.75" customHeight="1">
      <c r="K17" s="349"/>
      <c r="L17" s="367" t="s">
        <v>396</v>
      </c>
      <c r="M17" s="362">
        <f>M16/M8</f>
        <v>0.5030221625251847</v>
      </c>
      <c r="N17" s="355"/>
      <c r="O17" s="355"/>
      <c r="P17" s="352"/>
      <c r="R17" s="346"/>
    </row>
    <row r="18" spans="11:18" ht="26.25" customHeight="1">
      <c r="K18" s="349"/>
      <c r="L18" s="367" t="s">
        <v>376</v>
      </c>
      <c r="M18" s="368">
        <f>M13-M17</f>
        <v>-0.2712680011935586</v>
      </c>
      <c r="N18" s="355"/>
      <c r="O18" s="355"/>
      <c r="P18" s="352"/>
      <c r="R18" s="346"/>
    </row>
    <row r="19" spans="11:18" ht="24.75" customHeight="1">
      <c r="K19" s="349"/>
      <c r="L19" s="354" t="s">
        <v>397</v>
      </c>
      <c r="M19" s="355">
        <f>'06'!J11</f>
        <v>2602</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398</v>
      </c>
      <c r="M26" s="361">
        <f>M19/'06'!I11</f>
        <v>0.4008627330149438</v>
      </c>
      <c r="N26" s="355"/>
      <c r="O26" s="355"/>
      <c r="P26" s="352"/>
      <c r="R26" s="346"/>
    </row>
    <row r="27" spans="11:18" ht="24.75" customHeight="1">
      <c r="K27" s="349"/>
      <c r="L27" s="359" t="s">
        <v>399</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400</v>
      </c>
      <c r="M30" s="361">
        <f>M26-M27</f>
        <v>-0.27179913748865336</v>
      </c>
      <c r="N30" s="355"/>
      <c r="O30" s="355"/>
      <c r="P30" s="352"/>
      <c r="R30" s="346"/>
    </row>
    <row r="31" spans="11:18" ht="24.75" customHeight="1">
      <c r="K31" s="349"/>
      <c r="L31" s="354" t="s">
        <v>401</v>
      </c>
      <c r="M31" s="355">
        <f>'06'!R11</f>
        <v>9000</v>
      </c>
      <c r="N31" s="355"/>
      <c r="O31" s="355"/>
      <c r="P31" s="352"/>
      <c r="R31" s="346"/>
    </row>
    <row r="32" spans="11:18" ht="24.75" customHeight="1">
      <c r="K32" s="349"/>
      <c r="L32" s="359" t="s">
        <v>402</v>
      </c>
      <c r="M32" s="360">
        <f>'[7]M6 Tong hop Viec CHV '!$R$12</f>
        <v>719</v>
      </c>
      <c r="N32" s="355"/>
      <c r="O32" s="355"/>
      <c r="P32" s="352"/>
      <c r="R32" s="346"/>
    </row>
    <row r="33" spans="11:18" ht="24.75" customHeight="1">
      <c r="K33" s="349"/>
      <c r="L33" s="367" t="s">
        <v>403</v>
      </c>
      <c r="M33" s="369">
        <f>M31-M32</f>
        <v>8281</v>
      </c>
      <c r="N33" s="369" t="s">
        <v>377</v>
      </c>
      <c r="O33" s="368">
        <f>(M31-M32)/M32</f>
        <v>11.517385257301807</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379</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404</v>
      </c>
      <c r="M42" s="355">
        <f>'07'!C11</f>
        <v>4004196518</v>
      </c>
      <c r="N42" s="355"/>
      <c r="O42" s="355"/>
      <c r="P42" s="346"/>
      <c r="R42" s="346"/>
    </row>
    <row r="43" spans="11:18" ht="24.75" customHeight="1">
      <c r="K43" s="349"/>
      <c r="L43" s="363" t="s">
        <v>98</v>
      </c>
      <c r="M43" s="355">
        <f>'07'!D11</f>
        <v>3387427825</v>
      </c>
      <c r="N43" s="355"/>
      <c r="O43" s="355"/>
      <c r="P43" s="346"/>
      <c r="R43" s="346"/>
    </row>
    <row r="44" spans="11:18" ht="24.75" customHeight="1">
      <c r="K44" s="349"/>
      <c r="L44" s="363" t="s">
        <v>373</v>
      </c>
      <c r="M44" s="355">
        <f>'07'!E11</f>
        <v>616768693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405</v>
      </c>
      <c r="M47" s="355">
        <f>'07'!F11</f>
        <v>16070106</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406</v>
      </c>
      <c r="M50" s="355">
        <f>'07'!H11</f>
        <v>3988126412</v>
      </c>
      <c r="N50" s="355"/>
      <c r="O50" s="355"/>
      <c r="P50" s="346"/>
      <c r="R50" s="346"/>
    </row>
    <row r="51" spans="11:18" ht="24.75" customHeight="1">
      <c r="K51" s="349"/>
      <c r="L51" s="364" t="s">
        <v>407</v>
      </c>
      <c r="M51" s="360">
        <f>'[7]M7 Thop tien CHV'!$C$12</f>
        <v>54227822.442</v>
      </c>
      <c r="N51" s="355"/>
      <c r="O51" s="355"/>
      <c r="P51" s="346"/>
      <c r="R51" s="346"/>
    </row>
    <row r="52" spans="11:18" ht="24.75" customHeight="1">
      <c r="K52" s="349"/>
      <c r="L52" s="377" t="s">
        <v>380</v>
      </c>
      <c r="M52" s="369">
        <f>M50-M51</f>
        <v>3933898589.558</v>
      </c>
      <c r="N52" s="355"/>
      <c r="O52" s="355"/>
      <c r="P52" s="346"/>
      <c r="R52" s="346"/>
    </row>
    <row r="53" spans="11:18" ht="24.75" customHeight="1">
      <c r="K53" s="349"/>
      <c r="L53" s="377" t="s">
        <v>381</v>
      </c>
      <c r="M53" s="368">
        <f>(M52/M51)</f>
        <v>72.54391587944633</v>
      </c>
      <c r="N53" s="355"/>
      <c r="O53" s="355"/>
      <c r="P53" s="346"/>
      <c r="R53" s="346"/>
    </row>
    <row r="54" spans="11:18" ht="24.75" customHeight="1">
      <c r="K54" s="349"/>
      <c r="L54" s="363" t="s">
        <v>408</v>
      </c>
      <c r="M54" s="355">
        <f>'07'!I11</f>
        <v>2511514651</v>
      </c>
      <c r="N54" s="355" t="s">
        <v>382</v>
      </c>
      <c r="O54" s="361">
        <f>'07'!I11/'07'!H11</f>
        <v>0.629748004838318</v>
      </c>
      <c r="P54" s="346"/>
      <c r="R54" s="346"/>
    </row>
    <row r="55" spans="11:18" ht="24.75" customHeight="1">
      <c r="K55" s="349"/>
      <c r="L55" s="363" t="s">
        <v>409</v>
      </c>
      <c r="M55" s="355">
        <f>'07'!R11</f>
        <v>1476611761</v>
      </c>
      <c r="N55" s="355" t="s">
        <v>382</v>
      </c>
      <c r="O55" s="361">
        <f>'07'!R11/'07'!H11</f>
        <v>0.37025199516168195</v>
      </c>
      <c r="P55" s="346"/>
      <c r="R55" s="346"/>
    </row>
    <row r="56" spans="11:18" ht="24.75" customHeight="1">
      <c r="K56" s="349"/>
      <c r="L56" s="363" t="s">
        <v>410</v>
      </c>
      <c r="M56" s="355">
        <f>'07'!J11+'07'!K11+'07'!L11</f>
        <v>284762753</v>
      </c>
      <c r="N56" s="355" t="s">
        <v>382</v>
      </c>
      <c r="O56" s="361">
        <f>M56/'07'!H11</f>
        <v>0.07140263963127355</v>
      </c>
      <c r="P56" s="346"/>
      <c r="R56" s="346"/>
    </row>
    <row r="57" spans="11:18" ht="24.75" customHeight="1">
      <c r="K57" s="349"/>
      <c r="L57" s="364" t="s">
        <v>411</v>
      </c>
      <c r="M57" s="360">
        <f>'[7]M7 Thop tien CHV'!$H$12+'[7]M7 Thop tien CHV'!$I$12+'[7]M7 Thop tien CHV'!$K$12</f>
        <v>2217726.5</v>
      </c>
      <c r="N57" s="360" t="s">
        <v>382</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412</v>
      </c>
      <c r="M60" s="368">
        <f>O56-O57</f>
        <v>0.030506169883258216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413</v>
      </c>
      <c r="M63" s="355">
        <f>'07'!J11</f>
        <v>167250606</v>
      </c>
      <c r="N63" s="355" t="s">
        <v>383</v>
      </c>
      <c r="O63" s="361">
        <f>'07'!J11/'07'!I11</f>
        <v>0.06659352193442569</v>
      </c>
      <c r="P63" s="346"/>
      <c r="R63" s="346"/>
    </row>
    <row r="64" spans="11:16" ht="24.75" customHeight="1">
      <c r="K64" s="349"/>
      <c r="L64" s="364" t="s">
        <v>414</v>
      </c>
      <c r="M64" s="360">
        <f>'[7]M7 Thop tien CHV'!$H$12</f>
        <v>2212774.5</v>
      </c>
      <c r="N64" s="360" t="s">
        <v>384</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415</v>
      </c>
      <c r="M68" s="368">
        <f>O63-O64</f>
        <v>0.05235002061461204</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416</v>
      </c>
      <c r="M72" s="355">
        <f>'07'!S11</f>
        <v>3703363659</v>
      </c>
      <c r="N72" s="355"/>
      <c r="O72" s="355"/>
      <c r="P72" s="346"/>
    </row>
    <row r="73" spans="11:16" ht="24.75" customHeight="1">
      <c r="K73" s="349"/>
      <c r="L73" s="364" t="s">
        <v>417</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385</v>
      </c>
      <c r="M76" s="369">
        <f>M72-M73</f>
        <v>3655236848.638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386</v>
      </c>
      <c r="M79" s="368">
        <f>M76/M73</f>
        <v>75.950116393421</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G8" sqref="G8"/>
    </sheetView>
  </sheetViews>
  <sheetFormatPr defaultColWidth="9.00390625" defaultRowHeight="15.75"/>
  <cols>
    <col min="1" max="1" width="23.50390625" style="0" customWidth="1"/>
    <col min="2" max="2" width="66.125" style="0" customWidth="1"/>
  </cols>
  <sheetData>
    <row r="2" spans="1:2" ht="62.25" customHeight="1">
      <c r="A2" s="890" t="s">
        <v>431</v>
      </c>
      <c r="B2" s="890"/>
    </row>
    <row r="3" spans="1:2" ht="22.5" customHeight="1">
      <c r="A3" s="379" t="s">
        <v>419</v>
      </c>
      <c r="B3" s="386" t="s">
        <v>591</v>
      </c>
    </row>
    <row r="4" spans="1:2" ht="22.5" customHeight="1">
      <c r="A4" s="379" t="s">
        <v>418</v>
      </c>
      <c r="B4" s="380" t="s">
        <v>540</v>
      </c>
    </row>
    <row r="5" spans="1:2" ht="22.5" customHeight="1">
      <c r="A5" s="379" t="s">
        <v>420</v>
      </c>
      <c r="B5" s="385" t="s">
        <v>539</v>
      </c>
    </row>
    <row r="6" spans="1:2" ht="22.5" customHeight="1">
      <c r="A6" s="379" t="s">
        <v>421</v>
      </c>
      <c r="B6" s="385" t="s">
        <v>433</v>
      </c>
    </row>
    <row r="7" spans="1:2" ht="34.5" customHeight="1">
      <c r="A7" s="379" t="s">
        <v>422</v>
      </c>
      <c r="B7" s="395" t="s">
        <v>541</v>
      </c>
    </row>
    <row r="8" spans="1:2" ht="15.75">
      <c r="A8" s="381" t="s">
        <v>423</v>
      </c>
      <c r="B8" s="396" t="s">
        <v>594</v>
      </c>
    </row>
    <row r="10" spans="1:2" ht="62.25" customHeight="1">
      <c r="A10" s="891" t="s">
        <v>432</v>
      </c>
      <c r="B10" s="891"/>
    </row>
    <row r="11" spans="1:2" ht="15.75">
      <c r="A11" s="892" t="s">
        <v>430</v>
      </c>
      <c r="B11" s="892"/>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W120"/>
  <sheetViews>
    <sheetView showZeros="0" view="pageBreakPreview" zoomScale="85" zoomScaleSheetLayoutView="85" zoomScalePageLayoutView="0" workbookViewId="0" topLeftCell="A99">
      <selection activeCell="A1" sqref="A1:S113"/>
    </sheetView>
  </sheetViews>
  <sheetFormatPr defaultColWidth="9.00390625" defaultRowHeight="15.75"/>
  <cols>
    <col min="1" max="1" width="4.875" style="387" customWidth="1"/>
    <col min="2" max="2" width="20.375" style="387" customWidth="1"/>
    <col min="3" max="3" width="9.625" style="410" customWidth="1"/>
    <col min="4" max="5" width="7.375" style="405" customWidth="1"/>
    <col min="6" max="6" width="6.50390625" style="405" customWidth="1"/>
    <col min="7" max="7" width="6.75390625" style="405" customWidth="1"/>
    <col min="8" max="8" width="8.875" style="410" customWidth="1"/>
    <col min="9" max="9" width="7.875" style="410" customWidth="1"/>
    <col min="10" max="11" width="6.25390625" style="405" customWidth="1"/>
    <col min="12" max="12" width="5.75390625" style="405" customWidth="1"/>
    <col min="13" max="14" width="5.875" style="405" customWidth="1"/>
    <col min="15" max="15" width="6.125" style="405" customWidth="1"/>
    <col min="16" max="16" width="5.25390625" style="405" customWidth="1"/>
    <col min="17" max="17" width="7.50390625" style="410" customWidth="1"/>
    <col min="18" max="18" width="8.75390625" style="410" customWidth="1"/>
    <col min="19" max="19" width="8.625" style="405" customWidth="1"/>
    <col min="20" max="20" width="9.00390625" style="398" customWidth="1"/>
    <col min="21" max="16384" width="9.00390625" style="23" customWidth="1"/>
  </cols>
  <sheetData>
    <row r="1" spans="1:19" ht="20.25" customHeight="1">
      <c r="A1" s="387" t="s">
        <v>27</v>
      </c>
      <c r="C1" s="404"/>
      <c r="E1" s="907" t="s">
        <v>64</v>
      </c>
      <c r="F1" s="907"/>
      <c r="G1" s="907"/>
      <c r="H1" s="907"/>
      <c r="I1" s="907"/>
      <c r="J1" s="907"/>
      <c r="K1" s="907"/>
      <c r="L1" s="907"/>
      <c r="M1" s="907"/>
      <c r="N1" s="907"/>
      <c r="O1" s="907"/>
      <c r="P1" s="407" t="s">
        <v>425</v>
      </c>
      <c r="Q1" s="408"/>
      <c r="R1" s="408"/>
      <c r="S1" s="407"/>
    </row>
    <row r="2" spans="1:19" ht="17.25" customHeight="1">
      <c r="A2" s="895" t="s">
        <v>237</v>
      </c>
      <c r="B2" s="895"/>
      <c r="C2" s="895"/>
      <c r="D2" s="895"/>
      <c r="E2" s="908" t="s">
        <v>34</v>
      </c>
      <c r="F2" s="908"/>
      <c r="G2" s="908"/>
      <c r="H2" s="908"/>
      <c r="I2" s="908"/>
      <c r="J2" s="908"/>
      <c r="K2" s="908"/>
      <c r="L2" s="908"/>
      <c r="M2" s="908"/>
      <c r="N2" s="908"/>
      <c r="O2" s="908"/>
      <c r="P2" s="911" t="str">
        <f>'Thong tin'!B4</f>
        <v>CTHADS Hải Phòng</v>
      </c>
      <c r="Q2" s="911"/>
      <c r="R2" s="911"/>
      <c r="S2" s="911"/>
    </row>
    <row r="3" spans="1:19" ht="19.5" customHeight="1">
      <c r="A3" s="895" t="s">
        <v>238</v>
      </c>
      <c r="B3" s="895"/>
      <c r="C3" s="895"/>
      <c r="D3" s="895"/>
      <c r="E3" s="909" t="str">
        <f>'Thong tin'!B3</f>
        <v>05 tháng / năm 2017</v>
      </c>
      <c r="F3" s="909"/>
      <c r="G3" s="909"/>
      <c r="H3" s="909"/>
      <c r="I3" s="909"/>
      <c r="J3" s="909"/>
      <c r="K3" s="909"/>
      <c r="L3" s="909"/>
      <c r="M3" s="909"/>
      <c r="N3" s="909"/>
      <c r="O3" s="909"/>
      <c r="P3" s="407" t="s">
        <v>538</v>
      </c>
      <c r="Q3" s="404"/>
      <c r="R3" s="408"/>
      <c r="S3" s="407"/>
    </row>
    <row r="4" spans="1:19" ht="14.25" customHeight="1">
      <c r="A4" s="388" t="s">
        <v>116</v>
      </c>
      <c r="C4" s="404"/>
      <c r="D4" s="409"/>
      <c r="E4" s="409"/>
      <c r="F4" s="409"/>
      <c r="G4" s="409"/>
      <c r="H4" s="404"/>
      <c r="I4" s="404"/>
      <c r="J4" s="409"/>
      <c r="K4" s="409"/>
      <c r="L4" s="409"/>
      <c r="M4" s="409"/>
      <c r="N4" s="406"/>
      <c r="O4" s="406"/>
      <c r="P4" s="900" t="s">
        <v>300</v>
      </c>
      <c r="Q4" s="900"/>
      <c r="R4" s="900"/>
      <c r="S4" s="900"/>
    </row>
    <row r="5" spans="17:19" ht="11.25" customHeight="1">
      <c r="Q5" s="411" t="s">
        <v>236</v>
      </c>
      <c r="R5" s="412"/>
      <c r="S5" s="413"/>
    </row>
    <row r="6" spans="1:19" ht="19.5" customHeight="1">
      <c r="A6" s="901" t="s">
        <v>55</v>
      </c>
      <c r="B6" s="902"/>
      <c r="C6" s="894" t="s">
        <v>117</v>
      </c>
      <c r="D6" s="894"/>
      <c r="E6" s="894"/>
      <c r="F6" s="910" t="s">
        <v>99</v>
      </c>
      <c r="G6" s="910" t="s">
        <v>118</v>
      </c>
      <c r="H6" s="899" t="s">
        <v>100</v>
      </c>
      <c r="I6" s="899"/>
      <c r="J6" s="899"/>
      <c r="K6" s="899"/>
      <c r="L6" s="899"/>
      <c r="M6" s="899"/>
      <c r="N6" s="899"/>
      <c r="O6" s="899"/>
      <c r="P6" s="899"/>
      <c r="Q6" s="899"/>
      <c r="R6" s="897" t="s">
        <v>242</v>
      </c>
      <c r="S6" s="894" t="s">
        <v>427</v>
      </c>
    </row>
    <row r="7" spans="1:20" s="378" customFormat="1" ht="27" customHeight="1">
      <c r="A7" s="903"/>
      <c r="B7" s="904"/>
      <c r="C7" s="897" t="s">
        <v>42</v>
      </c>
      <c r="D7" s="894" t="s">
        <v>7</v>
      </c>
      <c r="E7" s="894"/>
      <c r="F7" s="910"/>
      <c r="G7" s="910"/>
      <c r="H7" s="896" t="s">
        <v>100</v>
      </c>
      <c r="I7" s="894" t="s">
        <v>101</v>
      </c>
      <c r="J7" s="894"/>
      <c r="K7" s="894"/>
      <c r="L7" s="894"/>
      <c r="M7" s="894"/>
      <c r="N7" s="894"/>
      <c r="O7" s="894"/>
      <c r="P7" s="894"/>
      <c r="Q7" s="896" t="s">
        <v>110</v>
      </c>
      <c r="R7" s="897"/>
      <c r="S7" s="894"/>
      <c r="T7" s="399"/>
    </row>
    <row r="8" spans="1:19" ht="21.75" customHeight="1">
      <c r="A8" s="903"/>
      <c r="B8" s="904"/>
      <c r="C8" s="897"/>
      <c r="D8" s="894" t="s">
        <v>120</v>
      </c>
      <c r="E8" s="894" t="s">
        <v>121</v>
      </c>
      <c r="F8" s="910"/>
      <c r="G8" s="910"/>
      <c r="H8" s="896"/>
      <c r="I8" s="896" t="s">
        <v>426</v>
      </c>
      <c r="J8" s="894" t="s">
        <v>7</v>
      </c>
      <c r="K8" s="894"/>
      <c r="L8" s="894"/>
      <c r="M8" s="894"/>
      <c r="N8" s="894"/>
      <c r="O8" s="894"/>
      <c r="P8" s="894"/>
      <c r="Q8" s="896"/>
      <c r="R8" s="897"/>
      <c r="S8" s="894"/>
    </row>
    <row r="9" spans="1:19" ht="84" customHeight="1">
      <c r="A9" s="905"/>
      <c r="B9" s="906"/>
      <c r="C9" s="897"/>
      <c r="D9" s="894"/>
      <c r="E9" s="894"/>
      <c r="F9" s="910"/>
      <c r="G9" s="910"/>
      <c r="H9" s="896"/>
      <c r="I9" s="896"/>
      <c r="J9" s="414" t="s">
        <v>122</v>
      </c>
      <c r="K9" s="414" t="s">
        <v>123</v>
      </c>
      <c r="L9" s="10" t="s">
        <v>103</v>
      </c>
      <c r="M9" s="10" t="s">
        <v>124</v>
      </c>
      <c r="N9" s="10" t="s">
        <v>106</v>
      </c>
      <c r="O9" s="10" t="s">
        <v>243</v>
      </c>
      <c r="P9" s="10" t="s">
        <v>109</v>
      </c>
      <c r="Q9" s="896"/>
      <c r="R9" s="897"/>
      <c r="S9" s="894"/>
    </row>
    <row r="10" spans="1:22" ht="22.5" customHeight="1">
      <c r="A10" s="915" t="s">
        <v>6</v>
      </c>
      <c r="B10" s="916"/>
      <c r="C10" s="415">
        <v>1</v>
      </c>
      <c r="D10" s="416">
        <v>2</v>
      </c>
      <c r="E10" s="416">
        <v>3</v>
      </c>
      <c r="F10" s="416">
        <v>4</v>
      </c>
      <c r="G10" s="416">
        <v>5</v>
      </c>
      <c r="H10" s="415">
        <v>6</v>
      </c>
      <c r="I10" s="415">
        <v>7</v>
      </c>
      <c r="J10" s="416">
        <v>8</v>
      </c>
      <c r="K10" s="416">
        <v>9</v>
      </c>
      <c r="L10" s="416">
        <v>10</v>
      </c>
      <c r="M10" s="416">
        <v>11</v>
      </c>
      <c r="N10" s="416">
        <v>12</v>
      </c>
      <c r="O10" s="416">
        <v>13</v>
      </c>
      <c r="P10" s="416">
        <v>14</v>
      </c>
      <c r="Q10" s="415">
        <v>15</v>
      </c>
      <c r="R10" s="415">
        <v>16</v>
      </c>
      <c r="S10" s="417">
        <v>17</v>
      </c>
      <c r="V10" s="400"/>
    </row>
    <row r="11" spans="1:23" s="392" customFormat="1" ht="23.25" customHeight="1">
      <c r="A11" s="917" t="s">
        <v>30</v>
      </c>
      <c r="B11" s="918"/>
      <c r="C11" s="490">
        <f aca="true" t="shared" si="0" ref="C11:R11">C12+C30</f>
        <v>11812</v>
      </c>
      <c r="D11" s="490">
        <f t="shared" si="0"/>
        <v>8042</v>
      </c>
      <c r="E11" s="490">
        <f t="shared" si="0"/>
        <v>3770</v>
      </c>
      <c r="F11" s="490">
        <f t="shared" si="0"/>
        <v>97</v>
      </c>
      <c r="G11" s="490">
        <f t="shared" si="0"/>
        <v>11</v>
      </c>
      <c r="H11" s="490">
        <f t="shared" si="0"/>
        <v>11715</v>
      </c>
      <c r="I11" s="490">
        <f t="shared" si="0"/>
        <v>6491</v>
      </c>
      <c r="J11" s="490">
        <f t="shared" si="0"/>
        <v>2602</v>
      </c>
      <c r="K11" s="490">
        <f t="shared" si="0"/>
        <v>113</v>
      </c>
      <c r="L11" s="490">
        <f t="shared" si="0"/>
        <v>3733</v>
      </c>
      <c r="M11" s="490">
        <f t="shared" si="0"/>
        <v>18</v>
      </c>
      <c r="N11" s="490">
        <f t="shared" si="0"/>
        <v>10</v>
      </c>
      <c r="O11" s="490">
        <f t="shared" si="0"/>
        <v>0</v>
      </c>
      <c r="P11" s="490">
        <f t="shared" si="0"/>
        <v>15</v>
      </c>
      <c r="Q11" s="490">
        <f t="shared" si="0"/>
        <v>5224</v>
      </c>
      <c r="R11" s="490">
        <f t="shared" si="0"/>
        <v>9000</v>
      </c>
      <c r="S11" s="491">
        <f>(J11+K11)/I11*100</f>
        <v>41.82714527807734</v>
      </c>
      <c r="T11" s="400" t="s">
        <v>595</v>
      </c>
      <c r="V11" s="400"/>
      <c r="W11" s="400"/>
    </row>
    <row r="12" spans="1:22" s="392" customFormat="1" ht="23.25" customHeight="1">
      <c r="A12" s="426" t="s">
        <v>0</v>
      </c>
      <c r="B12" s="427" t="s">
        <v>78</v>
      </c>
      <c r="C12" s="490">
        <f>SUM(C13:C29)</f>
        <v>426</v>
      </c>
      <c r="D12" s="490">
        <f>SUM(D13:D29)</f>
        <v>147</v>
      </c>
      <c r="E12" s="490">
        <f aca="true" t="shared" si="1" ref="E12:R12">SUM(E13:E29)</f>
        <v>279</v>
      </c>
      <c r="F12" s="490">
        <f t="shared" si="1"/>
        <v>35</v>
      </c>
      <c r="G12" s="490">
        <f t="shared" si="1"/>
        <v>0</v>
      </c>
      <c r="H12" s="490">
        <f t="shared" si="1"/>
        <v>391</v>
      </c>
      <c r="I12" s="490">
        <f t="shared" si="1"/>
        <v>376</v>
      </c>
      <c r="J12" s="490">
        <f t="shared" si="1"/>
        <v>116</v>
      </c>
      <c r="K12" s="490">
        <f t="shared" si="1"/>
        <v>3</v>
      </c>
      <c r="L12" s="490">
        <f t="shared" si="1"/>
        <v>254</v>
      </c>
      <c r="M12" s="490">
        <f t="shared" si="1"/>
        <v>0</v>
      </c>
      <c r="N12" s="490">
        <f t="shared" si="1"/>
        <v>3</v>
      </c>
      <c r="O12" s="490">
        <f t="shared" si="1"/>
        <v>0</v>
      </c>
      <c r="P12" s="490">
        <f t="shared" si="1"/>
        <v>0</v>
      </c>
      <c r="Q12" s="490">
        <f t="shared" si="1"/>
        <v>15</v>
      </c>
      <c r="R12" s="490">
        <f t="shared" si="1"/>
        <v>272</v>
      </c>
      <c r="S12" s="491">
        <f aca="true" t="shared" si="2" ref="S12:S75">(J12+K12)/I12*100</f>
        <v>31.648936170212767</v>
      </c>
      <c r="T12" s="400" t="s">
        <v>596</v>
      </c>
      <c r="U12" s="403"/>
      <c r="V12" s="400"/>
    </row>
    <row r="13" spans="1:22" s="475" customFormat="1" ht="23.25" customHeight="1">
      <c r="A13" s="428" t="s">
        <v>45</v>
      </c>
      <c r="B13" s="428" t="s">
        <v>435</v>
      </c>
      <c r="C13" s="492">
        <f>D13+E13</f>
        <v>10</v>
      </c>
      <c r="D13" s="493">
        <v>3</v>
      </c>
      <c r="E13" s="492">
        <v>7</v>
      </c>
      <c r="F13" s="492"/>
      <c r="G13" s="492"/>
      <c r="H13" s="492">
        <f aca="true" t="shared" si="3" ref="H13:H29">I13+Q13</f>
        <v>10</v>
      </c>
      <c r="I13" s="492">
        <f>SUM(J13:P13)</f>
        <v>10</v>
      </c>
      <c r="J13" s="492">
        <v>7</v>
      </c>
      <c r="K13" s="492"/>
      <c r="L13" s="492">
        <v>3</v>
      </c>
      <c r="M13" s="492"/>
      <c r="N13" s="492"/>
      <c r="O13" s="492"/>
      <c r="P13" s="492"/>
      <c r="Q13" s="492"/>
      <c r="R13" s="492">
        <f aca="true" t="shared" si="4" ref="R13:R76">SUM(L13:Q13)</f>
        <v>3</v>
      </c>
      <c r="S13" s="494">
        <f t="shared" si="2"/>
        <v>70</v>
      </c>
      <c r="T13" s="474">
        <f aca="true" t="shared" si="5" ref="T12:T75">C13-F13-H13</f>
        <v>0</v>
      </c>
      <c r="V13" s="474"/>
    </row>
    <row r="14" spans="1:22" s="475" customFormat="1" ht="23.25" customHeight="1">
      <c r="A14" s="428" t="s">
        <v>46</v>
      </c>
      <c r="B14" s="428" t="s">
        <v>436</v>
      </c>
      <c r="C14" s="492">
        <f aca="true" t="shared" si="6" ref="C14:C29">D14+E14</f>
        <v>10</v>
      </c>
      <c r="D14" s="493">
        <v>2</v>
      </c>
      <c r="E14" s="492">
        <v>8</v>
      </c>
      <c r="F14" s="492"/>
      <c r="G14" s="492"/>
      <c r="H14" s="492">
        <f t="shared" si="3"/>
        <v>10</v>
      </c>
      <c r="I14" s="492">
        <f aca="true" t="shared" si="7" ref="I14:I29">SUM(J14:P14)</f>
        <v>10</v>
      </c>
      <c r="J14" s="492"/>
      <c r="K14" s="492"/>
      <c r="L14" s="492">
        <v>10</v>
      </c>
      <c r="M14" s="492"/>
      <c r="N14" s="492"/>
      <c r="O14" s="492"/>
      <c r="P14" s="492"/>
      <c r="Q14" s="492"/>
      <c r="R14" s="492">
        <f t="shared" si="4"/>
        <v>10</v>
      </c>
      <c r="S14" s="494">
        <f t="shared" si="2"/>
        <v>0</v>
      </c>
      <c r="T14" s="474">
        <f t="shared" si="5"/>
        <v>0</v>
      </c>
      <c r="V14" s="474"/>
    </row>
    <row r="15" spans="1:20" s="475" customFormat="1" ht="23.25" customHeight="1">
      <c r="A15" s="428" t="s">
        <v>102</v>
      </c>
      <c r="B15" s="428" t="s">
        <v>433</v>
      </c>
      <c r="C15" s="492">
        <f t="shared" si="6"/>
        <v>9</v>
      </c>
      <c r="D15" s="493">
        <v>1</v>
      </c>
      <c r="E15" s="492">
        <v>8</v>
      </c>
      <c r="F15" s="492"/>
      <c r="G15" s="492"/>
      <c r="H15" s="492">
        <f t="shared" si="3"/>
        <v>9</v>
      </c>
      <c r="I15" s="492">
        <f t="shared" si="7"/>
        <v>9</v>
      </c>
      <c r="J15" s="492">
        <v>8</v>
      </c>
      <c r="K15" s="492"/>
      <c r="L15" s="492">
        <v>1</v>
      </c>
      <c r="M15" s="492"/>
      <c r="N15" s="492"/>
      <c r="O15" s="492"/>
      <c r="P15" s="492"/>
      <c r="Q15" s="492"/>
      <c r="R15" s="492">
        <f t="shared" si="4"/>
        <v>1</v>
      </c>
      <c r="S15" s="494">
        <f t="shared" si="2"/>
        <v>88.88888888888889</v>
      </c>
      <c r="T15" s="474">
        <f t="shared" si="5"/>
        <v>0</v>
      </c>
    </row>
    <row r="16" spans="1:20" s="475" customFormat="1" ht="23.25" customHeight="1">
      <c r="A16" s="428" t="s">
        <v>104</v>
      </c>
      <c r="B16" s="428" t="s">
        <v>531</v>
      </c>
      <c r="C16" s="492">
        <f t="shared" si="6"/>
        <v>17</v>
      </c>
      <c r="D16" s="493">
        <v>1</v>
      </c>
      <c r="E16" s="492">
        <v>16</v>
      </c>
      <c r="F16" s="492">
        <v>3</v>
      </c>
      <c r="G16" s="492"/>
      <c r="H16" s="492">
        <f t="shared" si="3"/>
        <v>14</v>
      </c>
      <c r="I16" s="492">
        <f t="shared" si="7"/>
        <v>14</v>
      </c>
      <c r="J16" s="492">
        <v>7</v>
      </c>
      <c r="K16" s="492"/>
      <c r="L16" s="492">
        <v>5</v>
      </c>
      <c r="M16" s="492"/>
      <c r="N16" s="492">
        <v>2</v>
      </c>
      <c r="O16" s="492"/>
      <c r="P16" s="492"/>
      <c r="Q16" s="492"/>
      <c r="R16" s="492">
        <f t="shared" si="4"/>
        <v>7</v>
      </c>
      <c r="S16" s="494">
        <f t="shared" si="2"/>
        <v>50</v>
      </c>
      <c r="T16" s="474">
        <f t="shared" si="5"/>
        <v>0</v>
      </c>
    </row>
    <row r="17" spans="1:20" s="475" customFormat="1" ht="23.25" customHeight="1">
      <c r="A17" s="428" t="s">
        <v>105</v>
      </c>
      <c r="B17" s="428" t="s">
        <v>437</v>
      </c>
      <c r="C17" s="492">
        <f t="shared" si="6"/>
        <v>22</v>
      </c>
      <c r="D17" s="493">
        <v>15</v>
      </c>
      <c r="E17" s="492">
        <v>7</v>
      </c>
      <c r="F17" s="492"/>
      <c r="G17" s="492"/>
      <c r="H17" s="492">
        <f t="shared" si="3"/>
        <v>22</v>
      </c>
      <c r="I17" s="492">
        <f t="shared" si="7"/>
        <v>20</v>
      </c>
      <c r="J17" s="492">
        <v>5</v>
      </c>
      <c r="K17" s="492"/>
      <c r="L17" s="492">
        <v>15</v>
      </c>
      <c r="M17" s="492"/>
      <c r="N17" s="492"/>
      <c r="O17" s="492"/>
      <c r="P17" s="492"/>
      <c r="Q17" s="492">
        <v>2</v>
      </c>
      <c r="R17" s="492">
        <f t="shared" si="4"/>
        <v>17</v>
      </c>
      <c r="S17" s="494">
        <f t="shared" si="2"/>
        <v>25</v>
      </c>
      <c r="T17" s="474">
        <f t="shared" si="5"/>
        <v>0</v>
      </c>
    </row>
    <row r="18" spans="1:20" s="475" customFormat="1" ht="23.25" customHeight="1">
      <c r="A18" s="428" t="s">
        <v>107</v>
      </c>
      <c r="B18" s="428" t="s">
        <v>438</v>
      </c>
      <c r="C18" s="492">
        <f t="shared" si="6"/>
        <v>19</v>
      </c>
      <c r="D18" s="493">
        <v>11</v>
      </c>
      <c r="E18" s="492">
        <v>8</v>
      </c>
      <c r="F18" s="492"/>
      <c r="G18" s="492"/>
      <c r="H18" s="492">
        <f t="shared" si="3"/>
        <v>19</v>
      </c>
      <c r="I18" s="492">
        <f t="shared" si="7"/>
        <v>18</v>
      </c>
      <c r="J18" s="492">
        <v>2</v>
      </c>
      <c r="K18" s="492"/>
      <c r="L18" s="495">
        <v>16</v>
      </c>
      <c r="M18" s="495"/>
      <c r="N18" s="496"/>
      <c r="O18" s="496"/>
      <c r="P18" s="496"/>
      <c r="Q18" s="496">
        <v>1</v>
      </c>
      <c r="R18" s="492">
        <f t="shared" si="4"/>
        <v>17</v>
      </c>
      <c r="S18" s="494">
        <f t="shared" si="2"/>
        <v>11.11111111111111</v>
      </c>
      <c r="T18" s="474">
        <f t="shared" si="5"/>
        <v>0</v>
      </c>
    </row>
    <row r="19" spans="1:20" s="475" customFormat="1" ht="23.25" customHeight="1">
      <c r="A19" s="428" t="s">
        <v>108</v>
      </c>
      <c r="B19" s="428" t="s">
        <v>439</v>
      </c>
      <c r="C19" s="492">
        <f t="shared" si="6"/>
        <v>24</v>
      </c>
      <c r="D19" s="493">
        <v>8</v>
      </c>
      <c r="E19" s="496">
        <v>16</v>
      </c>
      <c r="F19" s="492"/>
      <c r="G19" s="496"/>
      <c r="H19" s="492">
        <f>I19+Q19</f>
        <v>24</v>
      </c>
      <c r="I19" s="492">
        <f t="shared" si="7"/>
        <v>22</v>
      </c>
      <c r="J19" s="496">
        <v>10</v>
      </c>
      <c r="K19" s="496"/>
      <c r="L19" s="496">
        <v>12</v>
      </c>
      <c r="M19" s="496"/>
      <c r="N19" s="495"/>
      <c r="O19" s="496"/>
      <c r="P19" s="496"/>
      <c r="Q19" s="496">
        <v>2</v>
      </c>
      <c r="R19" s="492">
        <f t="shared" si="4"/>
        <v>14</v>
      </c>
      <c r="S19" s="494">
        <f t="shared" si="2"/>
        <v>45.45454545454545</v>
      </c>
      <c r="T19" s="474">
        <f t="shared" si="5"/>
        <v>0</v>
      </c>
    </row>
    <row r="20" spans="1:20" s="475" customFormat="1" ht="23.25" customHeight="1">
      <c r="A20" s="428" t="s">
        <v>114</v>
      </c>
      <c r="B20" s="428" t="s">
        <v>440</v>
      </c>
      <c r="C20" s="492">
        <f t="shared" si="6"/>
        <v>13</v>
      </c>
      <c r="D20" s="493">
        <v>6</v>
      </c>
      <c r="E20" s="496">
        <v>7</v>
      </c>
      <c r="F20" s="492"/>
      <c r="G20" s="496"/>
      <c r="H20" s="492">
        <f t="shared" si="3"/>
        <v>13</v>
      </c>
      <c r="I20" s="492">
        <f t="shared" si="7"/>
        <v>13</v>
      </c>
      <c r="J20" s="496">
        <v>6</v>
      </c>
      <c r="K20" s="496">
        <v>0</v>
      </c>
      <c r="L20" s="496">
        <v>7</v>
      </c>
      <c r="M20" s="496"/>
      <c r="N20" s="495"/>
      <c r="O20" s="496"/>
      <c r="P20" s="496"/>
      <c r="Q20" s="496"/>
      <c r="R20" s="492">
        <f t="shared" si="4"/>
        <v>7</v>
      </c>
      <c r="S20" s="494">
        <f t="shared" si="2"/>
        <v>46.15384615384615</v>
      </c>
      <c r="T20" s="474">
        <f t="shared" si="5"/>
        <v>0</v>
      </c>
    </row>
    <row r="21" spans="1:20" s="475" customFormat="1" ht="23.25" customHeight="1">
      <c r="A21" s="428" t="s">
        <v>424</v>
      </c>
      <c r="B21" s="428" t="s">
        <v>442</v>
      </c>
      <c r="C21" s="492">
        <f t="shared" si="6"/>
        <v>35</v>
      </c>
      <c r="D21" s="493">
        <v>10</v>
      </c>
      <c r="E21" s="497">
        <v>25</v>
      </c>
      <c r="F21" s="492">
        <v>5</v>
      </c>
      <c r="G21" s="497"/>
      <c r="H21" s="492">
        <f t="shared" si="3"/>
        <v>30</v>
      </c>
      <c r="I21" s="492">
        <f t="shared" si="7"/>
        <v>30</v>
      </c>
      <c r="J21" s="497">
        <v>17</v>
      </c>
      <c r="K21" s="497"/>
      <c r="L21" s="497">
        <v>13</v>
      </c>
      <c r="M21" s="497"/>
      <c r="N21" s="495"/>
      <c r="O21" s="497"/>
      <c r="P21" s="497"/>
      <c r="Q21" s="497"/>
      <c r="R21" s="492">
        <f t="shared" si="4"/>
        <v>13</v>
      </c>
      <c r="S21" s="494">
        <f t="shared" si="2"/>
        <v>56.666666666666664</v>
      </c>
      <c r="T21" s="474">
        <f t="shared" si="5"/>
        <v>0</v>
      </c>
    </row>
    <row r="22" spans="1:20" s="475" customFormat="1" ht="23.25" customHeight="1">
      <c r="A22" s="428" t="s">
        <v>441</v>
      </c>
      <c r="B22" s="428" t="s">
        <v>444</v>
      </c>
      <c r="C22" s="492">
        <f t="shared" si="6"/>
        <v>24</v>
      </c>
      <c r="D22" s="493">
        <v>11</v>
      </c>
      <c r="E22" s="496">
        <v>13</v>
      </c>
      <c r="F22" s="492"/>
      <c r="G22" s="496"/>
      <c r="H22" s="492">
        <f t="shared" si="3"/>
        <v>24</v>
      </c>
      <c r="I22" s="492">
        <f t="shared" si="7"/>
        <v>24</v>
      </c>
      <c r="J22" s="496">
        <v>8</v>
      </c>
      <c r="K22" s="496"/>
      <c r="L22" s="496">
        <v>16</v>
      </c>
      <c r="M22" s="496"/>
      <c r="N22" s="495"/>
      <c r="O22" s="496"/>
      <c r="P22" s="496"/>
      <c r="Q22" s="496"/>
      <c r="R22" s="492">
        <f t="shared" si="4"/>
        <v>16</v>
      </c>
      <c r="S22" s="494">
        <f t="shared" si="2"/>
        <v>33.33333333333333</v>
      </c>
      <c r="T22" s="474">
        <f t="shared" si="5"/>
        <v>0</v>
      </c>
    </row>
    <row r="23" spans="1:20" s="475" customFormat="1" ht="23.25" customHeight="1">
      <c r="A23" s="428" t="s">
        <v>443</v>
      </c>
      <c r="B23" s="428" t="s">
        <v>571</v>
      </c>
      <c r="C23" s="492">
        <f t="shared" si="6"/>
        <v>25</v>
      </c>
      <c r="D23" s="493">
        <v>15</v>
      </c>
      <c r="E23" s="496">
        <v>10</v>
      </c>
      <c r="F23" s="492"/>
      <c r="G23" s="496"/>
      <c r="H23" s="492">
        <f t="shared" si="3"/>
        <v>25</v>
      </c>
      <c r="I23" s="492">
        <f t="shared" si="7"/>
        <v>25</v>
      </c>
      <c r="J23" s="496"/>
      <c r="K23" s="496"/>
      <c r="L23" s="496">
        <v>25</v>
      </c>
      <c r="M23" s="496"/>
      <c r="N23" s="495"/>
      <c r="O23" s="496"/>
      <c r="P23" s="496"/>
      <c r="Q23" s="496"/>
      <c r="R23" s="492">
        <f t="shared" si="4"/>
        <v>25</v>
      </c>
      <c r="S23" s="494">
        <f t="shared" si="2"/>
        <v>0</v>
      </c>
      <c r="T23" s="474">
        <f t="shared" si="5"/>
        <v>0</v>
      </c>
    </row>
    <row r="24" spans="1:20" s="475" customFormat="1" ht="23.25" customHeight="1">
      <c r="A24" s="428" t="s">
        <v>445</v>
      </c>
      <c r="B24" s="428" t="s">
        <v>543</v>
      </c>
      <c r="C24" s="492">
        <f t="shared" si="6"/>
        <v>66</v>
      </c>
      <c r="D24" s="496">
        <v>17</v>
      </c>
      <c r="E24" s="496">
        <v>49</v>
      </c>
      <c r="F24" s="492">
        <v>16</v>
      </c>
      <c r="G24" s="496"/>
      <c r="H24" s="492">
        <f t="shared" si="3"/>
        <v>50</v>
      </c>
      <c r="I24" s="492">
        <f t="shared" si="7"/>
        <v>46</v>
      </c>
      <c r="J24" s="496">
        <v>7</v>
      </c>
      <c r="K24" s="496"/>
      <c r="L24" s="496">
        <v>39</v>
      </c>
      <c r="M24" s="496"/>
      <c r="N24" s="495"/>
      <c r="O24" s="496"/>
      <c r="P24" s="496"/>
      <c r="Q24" s="496">
        <v>4</v>
      </c>
      <c r="R24" s="492">
        <f t="shared" si="4"/>
        <v>43</v>
      </c>
      <c r="S24" s="494">
        <f t="shared" si="2"/>
        <v>15.217391304347828</v>
      </c>
      <c r="T24" s="474">
        <f t="shared" si="5"/>
        <v>0</v>
      </c>
    </row>
    <row r="25" spans="1:20" s="475" customFormat="1" ht="23.25" customHeight="1">
      <c r="A25" s="428" t="s">
        <v>446</v>
      </c>
      <c r="B25" s="428" t="s">
        <v>448</v>
      </c>
      <c r="C25" s="492">
        <f t="shared" si="6"/>
        <v>44</v>
      </c>
      <c r="D25" s="493">
        <v>18</v>
      </c>
      <c r="E25" s="496">
        <v>26</v>
      </c>
      <c r="F25" s="492">
        <v>4</v>
      </c>
      <c r="G25" s="496"/>
      <c r="H25" s="492">
        <f t="shared" si="3"/>
        <v>40</v>
      </c>
      <c r="I25" s="492">
        <f t="shared" si="7"/>
        <v>39</v>
      </c>
      <c r="J25" s="496">
        <v>13</v>
      </c>
      <c r="K25" s="496">
        <v>2</v>
      </c>
      <c r="L25" s="496">
        <v>23</v>
      </c>
      <c r="M25" s="496">
        <v>0</v>
      </c>
      <c r="N25" s="495">
        <v>1</v>
      </c>
      <c r="O25" s="496"/>
      <c r="P25" s="496"/>
      <c r="Q25" s="496">
        <v>1</v>
      </c>
      <c r="R25" s="492">
        <f t="shared" si="4"/>
        <v>25</v>
      </c>
      <c r="S25" s="494">
        <f t="shared" si="2"/>
        <v>38.46153846153847</v>
      </c>
      <c r="T25" s="474">
        <f t="shared" si="5"/>
        <v>0</v>
      </c>
    </row>
    <row r="26" spans="1:20" s="475" customFormat="1" ht="23.25" customHeight="1">
      <c r="A26" s="428" t="s">
        <v>447</v>
      </c>
      <c r="B26" s="428" t="s">
        <v>450</v>
      </c>
      <c r="C26" s="492">
        <f t="shared" si="6"/>
        <v>21</v>
      </c>
      <c r="D26" s="493">
        <v>8</v>
      </c>
      <c r="E26" s="496">
        <v>13</v>
      </c>
      <c r="F26" s="492">
        <v>5</v>
      </c>
      <c r="G26" s="496"/>
      <c r="H26" s="492">
        <f t="shared" si="3"/>
        <v>16</v>
      </c>
      <c r="I26" s="492">
        <f t="shared" si="7"/>
        <v>16</v>
      </c>
      <c r="J26" s="496">
        <v>2</v>
      </c>
      <c r="K26" s="496"/>
      <c r="L26" s="496">
        <v>14</v>
      </c>
      <c r="M26" s="496">
        <v>0</v>
      </c>
      <c r="N26" s="495"/>
      <c r="O26" s="496"/>
      <c r="P26" s="496"/>
      <c r="Q26" s="496"/>
      <c r="R26" s="492">
        <f t="shared" si="4"/>
        <v>14</v>
      </c>
      <c r="S26" s="494">
        <f t="shared" si="2"/>
        <v>12.5</v>
      </c>
      <c r="T26" s="474">
        <f t="shared" si="5"/>
        <v>0</v>
      </c>
    </row>
    <row r="27" spans="1:20" s="475" customFormat="1" ht="23.25" customHeight="1">
      <c r="A27" s="428" t="s">
        <v>449</v>
      </c>
      <c r="B27" s="428" t="s">
        <v>452</v>
      </c>
      <c r="C27" s="492">
        <f t="shared" si="6"/>
        <v>54</v>
      </c>
      <c r="D27" s="493">
        <v>12</v>
      </c>
      <c r="E27" s="492">
        <v>42</v>
      </c>
      <c r="F27" s="492">
        <v>2</v>
      </c>
      <c r="G27" s="498"/>
      <c r="H27" s="492">
        <f t="shared" si="3"/>
        <v>52</v>
      </c>
      <c r="I27" s="492">
        <f t="shared" si="7"/>
        <v>51</v>
      </c>
      <c r="J27" s="492">
        <v>11</v>
      </c>
      <c r="K27" s="492"/>
      <c r="L27" s="495">
        <v>40</v>
      </c>
      <c r="M27" s="495"/>
      <c r="N27" s="495"/>
      <c r="O27" s="496"/>
      <c r="P27" s="496"/>
      <c r="Q27" s="496">
        <v>1</v>
      </c>
      <c r="R27" s="492">
        <f t="shared" si="4"/>
        <v>41</v>
      </c>
      <c r="S27" s="494">
        <f t="shared" si="2"/>
        <v>21.568627450980394</v>
      </c>
      <c r="T27" s="474">
        <f t="shared" si="5"/>
        <v>0</v>
      </c>
    </row>
    <row r="28" spans="1:20" s="475" customFormat="1" ht="23.25" customHeight="1">
      <c r="A28" s="428" t="s">
        <v>451</v>
      </c>
      <c r="B28" s="428" t="s">
        <v>454</v>
      </c>
      <c r="C28" s="492">
        <f t="shared" si="6"/>
        <v>19</v>
      </c>
      <c r="D28" s="492">
        <v>7</v>
      </c>
      <c r="E28" s="492">
        <v>12</v>
      </c>
      <c r="F28" s="492">
        <v>0</v>
      </c>
      <c r="G28" s="492"/>
      <c r="H28" s="492">
        <f t="shared" si="3"/>
        <v>19</v>
      </c>
      <c r="I28" s="492">
        <f t="shared" si="7"/>
        <v>17</v>
      </c>
      <c r="J28" s="492">
        <v>7</v>
      </c>
      <c r="K28" s="492"/>
      <c r="L28" s="495">
        <v>10</v>
      </c>
      <c r="M28" s="495"/>
      <c r="N28" s="495"/>
      <c r="O28" s="496"/>
      <c r="P28" s="496"/>
      <c r="Q28" s="496">
        <v>2</v>
      </c>
      <c r="R28" s="492">
        <f t="shared" si="4"/>
        <v>12</v>
      </c>
      <c r="S28" s="494">
        <f t="shared" si="2"/>
        <v>41.17647058823529</v>
      </c>
      <c r="T28" s="474">
        <f t="shared" si="5"/>
        <v>0</v>
      </c>
    </row>
    <row r="29" spans="1:20" s="475" customFormat="1" ht="23.25" customHeight="1">
      <c r="A29" s="428" t="s">
        <v>453</v>
      </c>
      <c r="B29" s="428" t="s">
        <v>544</v>
      </c>
      <c r="C29" s="492">
        <f t="shared" si="6"/>
        <v>14</v>
      </c>
      <c r="D29" s="492">
        <v>2</v>
      </c>
      <c r="E29" s="492">
        <v>12</v>
      </c>
      <c r="F29" s="492">
        <v>0</v>
      </c>
      <c r="G29" s="492"/>
      <c r="H29" s="492">
        <f t="shared" si="3"/>
        <v>14</v>
      </c>
      <c r="I29" s="492">
        <f t="shared" si="7"/>
        <v>12</v>
      </c>
      <c r="J29" s="492">
        <v>6</v>
      </c>
      <c r="K29" s="492">
        <v>1</v>
      </c>
      <c r="L29" s="495">
        <v>5</v>
      </c>
      <c r="M29" s="495"/>
      <c r="N29" s="495"/>
      <c r="O29" s="496"/>
      <c r="P29" s="496"/>
      <c r="Q29" s="496">
        <v>2</v>
      </c>
      <c r="R29" s="492">
        <f t="shared" si="4"/>
        <v>7</v>
      </c>
      <c r="S29" s="494">
        <f t="shared" si="2"/>
        <v>58.333333333333336</v>
      </c>
      <c r="T29" s="474">
        <f t="shared" si="5"/>
        <v>0</v>
      </c>
    </row>
    <row r="30" spans="1:20" s="566" customFormat="1" ht="23.25" customHeight="1">
      <c r="A30" s="426" t="s">
        <v>1</v>
      </c>
      <c r="B30" s="427" t="s">
        <v>455</v>
      </c>
      <c r="C30" s="490">
        <f aca="true" t="shared" si="8" ref="C30:Q30">C31+C36+C41+C44+C47+C56+C61+C68+C72+C76+C87+C90+C94+C106+C109</f>
        <v>11386</v>
      </c>
      <c r="D30" s="490">
        <f t="shared" si="8"/>
        <v>7895</v>
      </c>
      <c r="E30" s="490">
        <f t="shared" si="8"/>
        <v>3491</v>
      </c>
      <c r="F30" s="490">
        <f t="shared" si="8"/>
        <v>62</v>
      </c>
      <c r="G30" s="490">
        <f t="shared" si="8"/>
        <v>11</v>
      </c>
      <c r="H30" s="490">
        <f t="shared" si="8"/>
        <v>11324</v>
      </c>
      <c r="I30" s="490">
        <f t="shared" si="8"/>
        <v>6115</v>
      </c>
      <c r="J30" s="490">
        <f t="shared" si="8"/>
        <v>2486</v>
      </c>
      <c r="K30" s="490">
        <f t="shared" si="8"/>
        <v>110</v>
      </c>
      <c r="L30" s="490">
        <f t="shared" si="8"/>
        <v>3479</v>
      </c>
      <c r="M30" s="490">
        <f t="shared" si="8"/>
        <v>18</v>
      </c>
      <c r="N30" s="490">
        <f t="shared" si="8"/>
        <v>7</v>
      </c>
      <c r="O30" s="490">
        <f t="shared" si="8"/>
        <v>0</v>
      </c>
      <c r="P30" s="490">
        <f t="shared" si="8"/>
        <v>15</v>
      </c>
      <c r="Q30" s="490">
        <f t="shared" si="8"/>
        <v>5209</v>
      </c>
      <c r="R30" s="490">
        <f t="shared" si="4"/>
        <v>8728</v>
      </c>
      <c r="S30" s="564">
        <f t="shared" si="2"/>
        <v>42.45298446443172</v>
      </c>
      <c r="T30" s="565">
        <f t="shared" si="5"/>
        <v>0</v>
      </c>
    </row>
    <row r="31" spans="1:20" s="566" customFormat="1" ht="23.25" customHeight="1">
      <c r="A31" s="426">
        <v>1</v>
      </c>
      <c r="B31" s="430" t="s">
        <v>456</v>
      </c>
      <c r="C31" s="490">
        <f>SUM(C32:C35)</f>
        <v>913</v>
      </c>
      <c r="D31" s="490">
        <f>SUM(D32:D35)</f>
        <v>632</v>
      </c>
      <c r="E31" s="490">
        <f aca="true" t="shared" si="9" ref="E31:Q31">SUM(E32:E35)</f>
        <v>281</v>
      </c>
      <c r="F31" s="490">
        <f t="shared" si="9"/>
        <v>4</v>
      </c>
      <c r="G31" s="490">
        <f t="shared" si="9"/>
        <v>0</v>
      </c>
      <c r="H31" s="490">
        <f t="shared" si="9"/>
        <v>909</v>
      </c>
      <c r="I31" s="490">
        <f t="shared" si="9"/>
        <v>538</v>
      </c>
      <c r="J31" s="490">
        <f t="shared" si="9"/>
        <v>177</v>
      </c>
      <c r="K31" s="490">
        <f t="shared" si="9"/>
        <v>23</v>
      </c>
      <c r="L31" s="490">
        <f t="shared" si="9"/>
        <v>337</v>
      </c>
      <c r="M31" s="490">
        <f t="shared" si="9"/>
        <v>1</v>
      </c>
      <c r="N31" s="490">
        <f t="shared" si="9"/>
        <v>0</v>
      </c>
      <c r="O31" s="490">
        <f t="shared" si="9"/>
        <v>0</v>
      </c>
      <c r="P31" s="490">
        <f t="shared" si="9"/>
        <v>0</v>
      </c>
      <c r="Q31" s="490">
        <f t="shared" si="9"/>
        <v>371</v>
      </c>
      <c r="R31" s="490">
        <f t="shared" si="4"/>
        <v>709</v>
      </c>
      <c r="S31" s="564">
        <f t="shared" si="2"/>
        <v>37.174721189591075</v>
      </c>
      <c r="T31" s="565">
        <f t="shared" si="5"/>
        <v>0</v>
      </c>
    </row>
    <row r="32" spans="1:20" s="475" customFormat="1" ht="23.25" customHeight="1">
      <c r="A32" s="458">
        <v>1.1</v>
      </c>
      <c r="B32" s="459" t="s">
        <v>457</v>
      </c>
      <c r="C32" s="479">
        <f>SUM(D32+E32)</f>
        <v>118</v>
      </c>
      <c r="D32" s="479">
        <v>81</v>
      </c>
      <c r="E32" s="479">
        <v>37</v>
      </c>
      <c r="F32" s="479">
        <v>3</v>
      </c>
      <c r="G32" s="479">
        <v>0</v>
      </c>
      <c r="H32" s="479">
        <f>SUM(Q32+I32)</f>
        <v>115</v>
      </c>
      <c r="I32" s="479">
        <f>SUM(L32+M32+N32+O32+P32+J32+K32)</f>
        <v>71</v>
      </c>
      <c r="J32" s="479">
        <v>26</v>
      </c>
      <c r="K32" s="479">
        <v>6</v>
      </c>
      <c r="L32" s="479">
        <v>39</v>
      </c>
      <c r="M32" s="479">
        <v>0</v>
      </c>
      <c r="N32" s="479">
        <v>0</v>
      </c>
      <c r="O32" s="479">
        <v>0</v>
      </c>
      <c r="P32" s="479">
        <v>0</v>
      </c>
      <c r="Q32" s="479">
        <v>44</v>
      </c>
      <c r="R32" s="492">
        <f t="shared" si="4"/>
        <v>83</v>
      </c>
      <c r="S32" s="494">
        <f t="shared" si="2"/>
        <v>45.07042253521127</v>
      </c>
      <c r="T32" s="474">
        <f t="shared" si="5"/>
        <v>0</v>
      </c>
    </row>
    <row r="33" spans="1:20" s="475" customFormat="1" ht="23.25" customHeight="1">
      <c r="A33" s="458">
        <v>1.2</v>
      </c>
      <c r="B33" s="459" t="s">
        <v>545</v>
      </c>
      <c r="C33" s="479">
        <f>SUM(D33+E33)</f>
        <v>180</v>
      </c>
      <c r="D33" s="479">
        <v>115</v>
      </c>
      <c r="E33" s="479">
        <v>65</v>
      </c>
      <c r="F33" s="479">
        <v>0</v>
      </c>
      <c r="G33" s="479"/>
      <c r="H33" s="479">
        <f>SUM(Q33+I33)</f>
        <v>180</v>
      </c>
      <c r="I33" s="479">
        <f>SUM(L33+M33+N33+O33+P33+J33+K33)</f>
        <v>110</v>
      </c>
      <c r="J33" s="479">
        <v>27</v>
      </c>
      <c r="K33" s="479">
        <v>1</v>
      </c>
      <c r="L33" s="479">
        <v>82</v>
      </c>
      <c r="M33" s="479">
        <v>0</v>
      </c>
      <c r="N33" s="479"/>
      <c r="O33" s="479"/>
      <c r="P33" s="479">
        <v>0</v>
      </c>
      <c r="Q33" s="479">
        <v>70</v>
      </c>
      <c r="R33" s="492">
        <f t="shared" si="4"/>
        <v>152</v>
      </c>
      <c r="S33" s="494">
        <f t="shared" si="2"/>
        <v>25.454545454545453</v>
      </c>
      <c r="T33" s="474">
        <f t="shared" si="5"/>
        <v>0</v>
      </c>
    </row>
    <row r="34" spans="1:20" s="475" customFormat="1" ht="23.25" customHeight="1">
      <c r="A34" s="458">
        <v>1.3</v>
      </c>
      <c r="B34" s="459" t="s">
        <v>458</v>
      </c>
      <c r="C34" s="479">
        <f>SUM(D34+E34)</f>
        <v>381</v>
      </c>
      <c r="D34" s="479">
        <v>265</v>
      </c>
      <c r="E34" s="479">
        <v>116</v>
      </c>
      <c r="F34" s="479">
        <v>0</v>
      </c>
      <c r="G34" s="479"/>
      <c r="H34" s="479">
        <f>SUM(Q34+I34)</f>
        <v>381</v>
      </c>
      <c r="I34" s="479">
        <f>SUM(L34+M34+N34+O34+P34+J34+K34)</f>
        <v>243</v>
      </c>
      <c r="J34" s="479">
        <v>76</v>
      </c>
      <c r="K34" s="479">
        <v>13</v>
      </c>
      <c r="L34" s="479">
        <v>153</v>
      </c>
      <c r="M34" s="479">
        <v>1</v>
      </c>
      <c r="N34" s="479"/>
      <c r="O34" s="479">
        <v>0</v>
      </c>
      <c r="P34" s="479">
        <v>0</v>
      </c>
      <c r="Q34" s="479">
        <v>138</v>
      </c>
      <c r="R34" s="492">
        <f t="shared" si="4"/>
        <v>292</v>
      </c>
      <c r="S34" s="494">
        <f t="shared" si="2"/>
        <v>36.62551440329218</v>
      </c>
      <c r="T34" s="474">
        <f t="shared" si="5"/>
        <v>0</v>
      </c>
    </row>
    <row r="35" spans="1:20" s="475" customFormat="1" ht="23.25" customHeight="1">
      <c r="A35" s="458">
        <v>1.4</v>
      </c>
      <c r="B35" s="459" t="s">
        <v>546</v>
      </c>
      <c r="C35" s="479">
        <f>SUM(D35+E35)</f>
        <v>234</v>
      </c>
      <c r="D35" s="479">
        <v>171</v>
      </c>
      <c r="E35" s="479">
        <v>63</v>
      </c>
      <c r="F35" s="479">
        <v>1</v>
      </c>
      <c r="G35" s="479"/>
      <c r="H35" s="479">
        <f>SUM(Q35+I35)</f>
        <v>233</v>
      </c>
      <c r="I35" s="479">
        <f>SUM(L35+M35+N35+O35+P35+J35+K35)</f>
        <v>114</v>
      </c>
      <c r="J35" s="479">
        <v>48</v>
      </c>
      <c r="K35" s="479">
        <v>3</v>
      </c>
      <c r="L35" s="479">
        <v>63</v>
      </c>
      <c r="M35" s="479">
        <v>0</v>
      </c>
      <c r="N35" s="479"/>
      <c r="O35" s="479"/>
      <c r="P35" s="479">
        <v>0</v>
      </c>
      <c r="Q35" s="479">
        <v>119</v>
      </c>
      <c r="R35" s="492">
        <f t="shared" si="4"/>
        <v>182</v>
      </c>
      <c r="S35" s="494">
        <f t="shared" si="2"/>
        <v>44.73684210526316</v>
      </c>
      <c r="T35" s="474">
        <f t="shared" si="5"/>
        <v>0</v>
      </c>
    </row>
    <row r="36" spans="1:20" s="566" customFormat="1" ht="23.25" customHeight="1">
      <c r="A36" s="426">
        <v>2</v>
      </c>
      <c r="B36" s="430" t="s">
        <v>459</v>
      </c>
      <c r="C36" s="490">
        <f>C40+C39+C38+C37</f>
        <v>353</v>
      </c>
      <c r="D36" s="490">
        <f>D40+D39+D38+D37</f>
        <v>183</v>
      </c>
      <c r="E36" s="490">
        <f aca="true" t="shared" si="10" ref="E36:Q36">E40+E39+E38+E37</f>
        <v>170</v>
      </c>
      <c r="F36" s="490">
        <f t="shared" si="10"/>
        <v>2</v>
      </c>
      <c r="G36" s="490">
        <f t="shared" si="10"/>
        <v>0</v>
      </c>
      <c r="H36" s="490">
        <f t="shared" si="10"/>
        <v>351</v>
      </c>
      <c r="I36" s="490">
        <f t="shared" si="10"/>
        <v>205</v>
      </c>
      <c r="J36" s="490">
        <f t="shared" si="10"/>
        <v>147</v>
      </c>
      <c r="K36" s="490">
        <f t="shared" si="10"/>
        <v>3</v>
      </c>
      <c r="L36" s="490">
        <f t="shared" si="10"/>
        <v>53</v>
      </c>
      <c r="M36" s="490">
        <f t="shared" si="10"/>
        <v>0</v>
      </c>
      <c r="N36" s="490">
        <f t="shared" si="10"/>
        <v>1</v>
      </c>
      <c r="O36" s="490">
        <f t="shared" si="10"/>
        <v>0</v>
      </c>
      <c r="P36" s="490">
        <f t="shared" si="10"/>
        <v>1</v>
      </c>
      <c r="Q36" s="490">
        <f t="shared" si="10"/>
        <v>146</v>
      </c>
      <c r="R36" s="490">
        <f t="shared" si="4"/>
        <v>201</v>
      </c>
      <c r="S36" s="564">
        <f t="shared" si="2"/>
        <v>73.17073170731707</v>
      </c>
      <c r="T36" s="565">
        <f t="shared" si="5"/>
        <v>0</v>
      </c>
    </row>
    <row r="37" spans="1:20" s="475" customFormat="1" ht="23.25" customHeight="1">
      <c r="A37" s="458">
        <v>2.1</v>
      </c>
      <c r="B37" s="460" t="s">
        <v>460</v>
      </c>
      <c r="C37" s="499">
        <f>D37+E37</f>
        <v>80</v>
      </c>
      <c r="D37" s="499">
        <v>14</v>
      </c>
      <c r="E37" s="499">
        <v>66</v>
      </c>
      <c r="F37" s="499">
        <v>0</v>
      </c>
      <c r="G37" s="499"/>
      <c r="H37" s="499">
        <f>I37+Q37</f>
        <v>80</v>
      </c>
      <c r="I37" s="499">
        <f>J37+K37+L37+M37+N37+O37+P37</f>
        <v>69</v>
      </c>
      <c r="J37" s="499">
        <v>66</v>
      </c>
      <c r="K37" s="499">
        <v>1</v>
      </c>
      <c r="L37" s="499">
        <v>2</v>
      </c>
      <c r="M37" s="499"/>
      <c r="N37" s="499"/>
      <c r="O37" s="499"/>
      <c r="P37" s="500"/>
      <c r="Q37" s="501">
        <v>11</v>
      </c>
      <c r="R37" s="492">
        <f t="shared" si="4"/>
        <v>13</v>
      </c>
      <c r="S37" s="494">
        <f t="shared" si="2"/>
        <v>97.10144927536231</v>
      </c>
      <c r="T37" s="474">
        <f t="shared" si="5"/>
        <v>0</v>
      </c>
    </row>
    <row r="38" spans="1:20" s="475" customFormat="1" ht="23.25" customHeight="1">
      <c r="A38" s="458">
        <v>2.2</v>
      </c>
      <c r="B38" s="460" t="s">
        <v>461</v>
      </c>
      <c r="C38" s="499">
        <f>D38+E38</f>
        <v>130</v>
      </c>
      <c r="D38" s="499">
        <v>74</v>
      </c>
      <c r="E38" s="499">
        <v>56</v>
      </c>
      <c r="F38" s="499">
        <v>2</v>
      </c>
      <c r="G38" s="499"/>
      <c r="H38" s="499">
        <f>I38+Q38</f>
        <v>128</v>
      </c>
      <c r="I38" s="499">
        <f>J38+K38+L38+M38+N38+O38+P38</f>
        <v>68</v>
      </c>
      <c r="J38" s="499">
        <v>39</v>
      </c>
      <c r="K38" s="499">
        <v>0</v>
      </c>
      <c r="L38" s="499">
        <v>29</v>
      </c>
      <c r="M38" s="499"/>
      <c r="N38" s="499"/>
      <c r="O38" s="499"/>
      <c r="P38" s="500">
        <v>0</v>
      </c>
      <c r="Q38" s="501">
        <v>60</v>
      </c>
      <c r="R38" s="492">
        <f t="shared" si="4"/>
        <v>89</v>
      </c>
      <c r="S38" s="494">
        <f t="shared" si="2"/>
        <v>57.35294117647059</v>
      </c>
      <c r="T38" s="474">
        <f t="shared" si="5"/>
        <v>0</v>
      </c>
    </row>
    <row r="39" spans="1:20" s="475" customFormat="1" ht="23.25" customHeight="1">
      <c r="A39" s="458">
        <v>2.3</v>
      </c>
      <c r="B39" s="460" t="s">
        <v>462</v>
      </c>
      <c r="C39" s="499">
        <f>D39+E39</f>
        <v>143</v>
      </c>
      <c r="D39" s="499">
        <v>95</v>
      </c>
      <c r="E39" s="499">
        <v>48</v>
      </c>
      <c r="F39" s="499"/>
      <c r="G39" s="499"/>
      <c r="H39" s="499">
        <f>I39+Q39</f>
        <v>143</v>
      </c>
      <c r="I39" s="499">
        <f>J39+K39+L39+M39+N39+O39+P39</f>
        <v>68</v>
      </c>
      <c r="J39" s="499">
        <v>42</v>
      </c>
      <c r="K39" s="499">
        <v>2</v>
      </c>
      <c r="L39" s="499">
        <v>22</v>
      </c>
      <c r="M39" s="499"/>
      <c r="N39" s="499">
        <v>1</v>
      </c>
      <c r="O39" s="499"/>
      <c r="P39" s="500">
        <v>1</v>
      </c>
      <c r="Q39" s="501">
        <v>75</v>
      </c>
      <c r="R39" s="492">
        <f t="shared" si="4"/>
        <v>99</v>
      </c>
      <c r="S39" s="494">
        <f t="shared" si="2"/>
        <v>64.70588235294117</v>
      </c>
      <c r="T39" s="474">
        <f t="shared" si="5"/>
        <v>0</v>
      </c>
    </row>
    <row r="40" spans="1:20" s="475" customFormat="1" ht="23.25" customHeight="1">
      <c r="A40" s="458">
        <v>2.4</v>
      </c>
      <c r="B40" s="460" t="s">
        <v>463</v>
      </c>
      <c r="C40" s="499">
        <v>0</v>
      </c>
      <c r="D40" s="499">
        <v>0</v>
      </c>
      <c r="E40" s="499">
        <v>0</v>
      </c>
      <c r="F40" s="499">
        <v>0</v>
      </c>
      <c r="G40" s="499">
        <v>0</v>
      </c>
      <c r="H40" s="499">
        <f>I40+Q40</f>
        <v>0</v>
      </c>
      <c r="I40" s="499">
        <f>J40+K40+L40+M40+N40+O40+P40</f>
        <v>0</v>
      </c>
      <c r="J40" s="499">
        <v>0</v>
      </c>
      <c r="K40" s="499">
        <v>0</v>
      </c>
      <c r="L40" s="499">
        <v>0</v>
      </c>
      <c r="M40" s="499">
        <v>0</v>
      </c>
      <c r="N40" s="499"/>
      <c r="O40" s="499"/>
      <c r="P40" s="500"/>
      <c r="Q40" s="501">
        <v>0</v>
      </c>
      <c r="R40" s="492">
        <f t="shared" si="4"/>
        <v>0</v>
      </c>
      <c r="S40" s="494" t="e">
        <f t="shared" si="2"/>
        <v>#DIV/0!</v>
      </c>
      <c r="T40" s="474">
        <f t="shared" si="5"/>
        <v>0</v>
      </c>
    </row>
    <row r="41" spans="1:20" s="566" customFormat="1" ht="23.25" customHeight="1">
      <c r="A41" s="426">
        <v>3</v>
      </c>
      <c r="B41" s="430" t="s">
        <v>464</v>
      </c>
      <c r="C41" s="567">
        <f aca="true" t="shared" si="11" ref="C41:Q41">C42+C43</f>
        <v>219</v>
      </c>
      <c r="D41" s="567">
        <f t="shared" si="11"/>
        <v>144</v>
      </c>
      <c r="E41" s="567">
        <f t="shared" si="11"/>
        <v>75</v>
      </c>
      <c r="F41" s="567">
        <f t="shared" si="11"/>
        <v>1</v>
      </c>
      <c r="G41" s="567">
        <f t="shared" si="11"/>
        <v>0</v>
      </c>
      <c r="H41" s="567">
        <f t="shared" si="11"/>
        <v>218</v>
      </c>
      <c r="I41" s="567">
        <f t="shared" si="11"/>
        <v>130</v>
      </c>
      <c r="J41" s="567">
        <f t="shared" si="11"/>
        <v>54</v>
      </c>
      <c r="K41" s="567">
        <f t="shared" si="11"/>
        <v>4</v>
      </c>
      <c r="L41" s="567">
        <f t="shared" si="11"/>
        <v>71</v>
      </c>
      <c r="M41" s="567">
        <f t="shared" si="11"/>
        <v>0</v>
      </c>
      <c r="N41" s="567">
        <f t="shared" si="11"/>
        <v>0</v>
      </c>
      <c r="O41" s="567">
        <f t="shared" si="11"/>
        <v>0</v>
      </c>
      <c r="P41" s="567">
        <f t="shared" si="11"/>
        <v>1</v>
      </c>
      <c r="Q41" s="567">
        <f t="shared" si="11"/>
        <v>88</v>
      </c>
      <c r="R41" s="490">
        <f t="shared" si="4"/>
        <v>160</v>
      </c>
      <c r="S41" s="564">
        <f t="shared" si="2"/>
        <v>44.61538461538462</v>
      </c>
      <c r="T41" s="565">
        <f t="shared" si="5"/>
        <v>0</v>
      </c>
    </row>
    <row r="42" spans="1:20" s="475" customFormat="1" ht="23.25" customHeight="1">
      <c r="A42" s="458">
        <v>3.1</v>
      </c>
      <c r="B42" s="461" t="s">
        <v>465</v>
      </c>
      <c r="C42" s="499">
        <f>D42+E42</f>
        <v>83</v>
      </c>
      <c r="D42" s="499">
        <v>44</v>
      </c>
      <c r="E42" s="499">
        <v>39</v>
      </c>
      <c r="F42" s="499">
        <v>1</v>
      </c>
      <c r="G42" s="499">
        <v>0</v>
      </c>
      <c r="H42" s="499">
        <f>I42+Q42</f>
        <v>82</v>
      </c>
      <c r="I42" s="499">
        <f>J42+K42+L42+M42+N42+O42+P42</f>
        <v>58</v>
      </c>
      <c r="J42" s="499">
        <v>29</v>
      </c>
      <c r="K42" s="499">
        <v>3</v>
      </c>
      <c r="L42" s="499">
        <v>25</v>
      </c>
      <c r="M42" s="499">
        <v>0</v>
      </c>
      <c r="N42" s="499">
        <v>0</v>
      </c>
      <c r="O42" s="499">
        <v>0</v>
      </c>
      <c r="P42" s="500">
        <v>1</v>
      </c>
      <c r="Q42" s="501">
        <v>24</v>
      </c>
      <c r="R42" s="492">
        <f t="shared" si="4"/>
        <v>50</v>
      </c>
      <c r="S42" s="494">
        <f t="shared" si="2"/>
        <v>55.172413793103445</v>
      </c>
      <c r="T42" s="474">
        <f t="shared" si="5"/>
        <v>0</v>
      </c>
    </row>
    <row r="43" spans="1:20" s="475" customFormat="1" ht="23.25" customHeight="1">
      <c r="A43" s="458">
        <v>3.2</v>
      </c>
      <c r="B43" s="461" t="s">
        <v>466</v>
      </c>
      <c r="C43" s="499">
        <f>D43+E43</f>
        <v>136</v>
      </c>
      <c r="D43" s="499">
        <v>100</v>
      </c>
      <c r="E43" s="499">
        <v>36</v>
      </c>
      <c r="F43" s="499">
        <v>0</v>
      </c>
      <c r="G43" s="499">
        <v>0</v>
      </c>
      <c r="H43" s="499">
        <f>I43+Q43</f>
        <v>136</v>
      </c>
      <c r="I43" s="499">
        <f>J43+K43+L43+M43+N43+O43+P43</f>
        <v>72</v>
      </c>
      <c r="J43" s="499">
        <v>25</v>
      </c>
      <c r="K43" s="499">
        <v>1</v>
      </c>
      <c r="L43" s="499">
        <v>46</v>
      </c>
      <c r="M43" s="499">
        <v>0</v>
      </c>
      <c r="N43" s="499">
        <v>0</v>
      </c>
      <c r="O43" s="499">
        <v>0</v>
      </c>
      <c r="P43" s="500">
        <v>0</v>
      </c>
      <c r="Q43" s="501">
        <v>64</v>
      </c>
      <c r="R43" s="492">
        <f t="shared" si="4"/>
        <v>110</v>
      </c>
      <c r="S43" s="494">
        <f t="shared" si="2"/>
        <v>36.11111111111111</v>
      </c>
      <c r="T43" s="474">
        <f t="shared" si="5"/>
        <v>0</v>
      </c>
    </row>
    <row r="44" spans="1:20" s="566" customFormat="1" ht="23.25" customHeight="1">
      <c r="A44" s="426">
        <v>4</v>
      </c>
      <c r="B44" s="430" t="s">
        <v>467</v>
      </c>
      <c r="C44" s="490"/>
      <c r="D44" s="490"/>
      <c r="E44" s="490"/>
      <c r="F44" s="490"/>
      <c r="G44" s="490"/>
      <c r="H44" s="490"/>
      <c r="I44" s="490"/>
      <c r="J44" s="490"/>
      <c r="K44" s="490"/>
      <c r="L44" s="490"/>
      <c r="M44" s="490"/>
      <c r="N44" s="490"/>
      <c r="O44" s="490"/>
      <c r="P44" s="490"/>
      <c r="Q44" s="490"/>
      <c r="R44" s="490">
        <f t="shared" si="4"/>
        <v>0</v>
      </c>
      <c r="S44" s="564" t="e">
        <f t="shared" si="2"/>
        <v>#DIV/0!</v>
      </c>
      <c r="T44" s="565">
        <f t="shared" si="5"/>
        <v>0</v>
      </c>
    </row>
    <row r="45" spans="1:20" s="475" customFormat="1" ht="23.25" customHeight="1">
      <c r="A45" s="458">
        <v>1</v>
      </c>
      <c r="B45" s="462" t="s">
        <v>468</v>
      </c>
      <c r="C45" s="492"/>
      <c r="D45" s="492"/>
      <c r="E45" s="492"/>
      <c r="F45" s="492"/>
      <c r="G45" s="492"/>
      <c r="H45" s="492"/>
      <c r="I45" s="492"/>
      <c r="J45" s="492"/>
      <c r="K45" s="492"/>
      <c r="L45" s="502"/>
      <c r="M45" s="502"/>
      <c r="N45" s="502"/>
      <c r="O45" s="496"/>
      <c r="P45" s="496"/>
      <c r="Q45" s="496"/>
      <c r="R45" s="492">
        <f t="shared" si="4"/>
        <v>0</v>
      </c>
      <c r="S45" s="494" t="e">
        <f t="shared" si="2"/>
        <v>#DIV/0!</v>
      </c>
      <c r="T45" s="474">
        <f t="shared" si="5"/>
        <v>0</v>
      </c>
    </row>
    <row r="46" spans="1:20" s="475" customFormat="1" ht="23.25" customHeight="1">
      <c r="A46" s="458">
        <v>2</v>
      </c>
      <c r="B46" s="462" t="s">
        <v>469</v>
      </c>
      <c r="C46" s="492"/>
      <c r="D46" s="492"/>
      <c r="E46" s="492"/>
      <c r="F46" s="492"/>
      <c r="G46" s="492"/>
      <c r="H46" s="492"/>
      <c r="I46" s="492"/>
      <c r="J46" s="492"/>
      <c r="K46" s="492"/>
      <c r="L46" s="502"/>
      <c r="M46" s="502"/>
      <c r="N46" s="502"/>
      <c r="O46" s="496"/>
      <c r="P46" s="496"/>
      <c r="Q46" s="496"/>
      <c r="R46" s="492">
        <f t="shared" si="4"/>
        <v>0</v>
      </c>
      <c r="S46" s="494" t="e">
        <f t="shared" si="2"/>
        <v>#DIV/0!</v>
      </c>
      <c r="T46" s="474">
        <f t="shared" si="5"/>
        <v>0</v>
      </c>
    </row>
    <row r="47" spans="1:20" s="566" customFormat="1" ht="23.25" customHeight="1">
      <c r="A47" s="426">
        <v>5</v>
      </c>
      <c r="B47" s="430" t="s">
        <v>470</v>
      </c>
      <c r="C47" s="568">
        <f>C48+C49+C50+C51+C52+C53+C54+C55</f>
        <v>2310</v>
      </c>
      <c r="D47" s="568">
        <f aca="true" t="shared" si="12" ref="D47:Q47">D48+D49+D50+D51+D52+D53+D54+D55</f>
        <v>1759</v>
      </c>
      <c r="E47" s="568">
        <f t="shared" si="12"/>
        <v>551</v>
      </c>
      <c r="F47" s="568">
        <f t="shared" si="12"/>
        <v>10</v>
      </c>
      <c r="G47" s="568">
        <f t="shared" si="12"/>
        <v>0</v>
      </c>
      <c r="H47" s="568">
        <f t="shared" si="12"/>
        <v>2300</v>
      </c>
      <c r="I47" s="568">
        <f t="shared" si="12"/>
        <v>880</v>
      </c>
      <c r="J47" s="568">
        <f t="shared" si="12"/>
        <v>210</v>
      </c>
      <c r="K47" s="568">
        <f t="shared" si="12"/>
        <v>6</v>
      </c>
      <c r="L47" s="568">
        <f t="shared" si="12"/>
        <v>662</v>
      </c>
      <c r="M47" s="568">
        <f t="shared" si="12"/>
        <v>0</v>
      </c>
      <c r="N47" s="568">
        <f t="shared" si="12"/>
        <v>0</v>
      </c>
      <c r="O47" s="568">
        <f t="shared" si="12"/>
        <v>0</v>
      </c>
      <c r="P47" s="568">
        <f t="shared" si="12"/>
        <v>2</v>
      </c>
      <c r="Q47" s="568">
        <f t="shared" si="12"/>
        <v>1420</v>
      </c>
      <c r="R47" s="490">
        <f t="shared" si="4"/>
        <v>2084</v>
      </c>
      <c r="S47" s="564">
        <f t="shared" si="2"/>
        <v>24.545454545454547</v>
      </c>
      <c r="T47" s="565">
        <f t="shared" si="5"/>
        <v>0</v>
      </c>
    </row>
    <row r="48" spans="1:20" s="475" customFormat="1" ht="23.25" customHeight="1">
      <c r="A48" s="463" t="s">
        <v>111</v>
      </c>
      <c r="B48" s="478" t="s">
        <v>471</v>
      </c>
      <c r="C48" s="503">
        <f>D48+E48</f>
        <v>248</v>
      </c>
      <c r="D48" s="503">
        <v>94</v>
      </c>
      <c r="E48" s="503">
        <v>154</v>
      </c>
      <c r="F48" s="503">
        <v>0</v>
      </c>
      <c r="G48" s="503">
        <v>0</v>
      </c>
      <c r="H48" s="503">
        <f>C48-F48</f>
        <v>248</v>
      </c>
      <c r="I48" s="503">
        <f>J48+K48+L48+M48+N48+O48+P48</f>
        <v>166</v>
      </c>
      <c r="J48" s="503">
        <v>90</v>
      </c>
      <c r="K48" s="503">
        <v>0</v>
      </c>
      <c r="L48" s="505">
        <v>76</v>
      </c>
      <c r="M48" s="503">
        <v>0</v>
      </c>
      <c r="N48" s="503">
        <v>0</v>
      </c>
      <c r="O48" s="503">
        <v>0</v>
      </c>
      <c r="P48" s="503">
        <v>0</v>
      </c>
      <c r="Q48" s="506">
        <f>H48-I48</f>
        <v>82</v>
      </c>
      <c r="R48" s="492">
        <f t="shared" si="4"/>
        <v>158</v>
      </c>
      <c r="S48" s="494">
        <f t="shared" si="2"/>
        <v>54.21686746987952</v>
      </c>
      <c r="T48" s="474">
        <f t="shared" si="5"/>
        <v>0</v>
      </c>
    </row>
    <row r="49" spans="1:20" s="475" customFormat="1" ht="23.25" customHeight="1">
      <c r="A49" s="463" t="s">
        <v>112</v>
      </c>
      <c r="B49" s="478" t="s">
        <v>472</v>
      </c>
      <c r="C49" s="503">
        <f aca="true" t="shared" si="13" ref="C49:C54">D49+E49</f>
        <v>269</v>
      </c>
      <c r="D49" s="503">
        <v>80</v>
      </c>
      <c r="E49" s="503">
        <f>176+13</f>
        <v>189</v>
      </c>
      <c r="F49" s="503">
        <v>0</v>
      </c>
      <c r="G49" s="503">
        <v>0</v>
      </c>
      <c r="H49" s="503">
        <f aca="true" t="shared" si="14" ref="H49:H54">C49-F49</f>
        <v>269</v>
      </c>
      <c r="I49" s="503">
        <f aca="true" t="shared" si="15" ref="I49:I54">J49+K49+L49+M49+N49+O49+P49</f>
        <v>122</v>
      </c>
      <c r="J49" s="503">
        <v>15</v>
      </c>
      <c r="K49" s="503">
        <v>0</v>
      </c>
      <c r="L49" s="505">
        <f>92+13</f>
        <v>105</v>
      </c>
      <c r="M49" s="503">
        <v>0</v>
      </c>
      <c r="N49" s="503">
        <v>0</v>
      </c>
      <c r="O49" s="503">
        <v>0</v>
      </c>
      <c r="P49" s="503">
        <v>2</v>
      </c>
      <c r="Q49" s="506">
        <f aca="true" t="shared" si="16" ref="Q49:Q54">H49-I49</f>
        <v>147</v>
      </c>
      <c r="R49" s="492">
        <f t="shared" si="4"/>
        <v>254</v>
      </c>
      <c r="S49" s="494">
        <f t="shared" si="2"/>
        <v>12.295081967213115</v>
      </c>
      <c r="T49" s="474">
        <f t="shared" si="5"/>
        <v>0</v>
      </c>
    </row>
    <row r="50" spans="1:20" s="475" customFormat="1" ht="23.25" customHeight="1">
      <c r="A50" s="463" t="s">
        <v>113</v>
      </c>
      <c r="B50" s="478" t="s">
        <v>580</v>
      </c>
      <c r="C50" s="503">
        <f t="shared" si="13"/>
        <v>324</v>
      </c>
      <c r="D50" s="503">
        <v>273</v>
      </c>
      <c r="E50" s="503">
        <v>51</v>
      </c>
      <c r="F50" s="503">
        <v>2</v>
      </c>
      <c r="G50" s="503">
        <v>0</v>
      </c>
      <c r="H50" s="503">
        <f t="shared" si="14"/>
        <v>322</v>
      </c>
      <c r="I50" s="503">
        <f t="shared" si="15"/>
        <v>134</v>
      </c>
      <c r="J50" s="503">
        <v>30</v>
      </c>
      <c r="K50" s="503">
        <v>1</v>
      </c>
      <c r="L50" s="505">
        <v>103</v>
      </c>
      <c r="M50" s="503">
        <v>0</v>
      </c>
      <c r="N50" s="503">
        <v>0</v>
      </c>
      <c r="O50" s="503">
        <v>0</v>
      </c>
      <c r="P50" s="503">
        <v>0</v>
      </c>
      <c r="Q50" s="506">
        <f>H50-I50</f>
        <v>188</v>
      </c>
      <c r="R50" s="492">
        <f t="shared" si="4"/>
        <v>291</v>
      </c>
      <c r="S50" s="494">
        <f t="shared" si="2"/>
        <v>23.134328358208954</v>
      </c>
      <c r="T50" s="474">
        <f t="shared" si="5"/>
        <v>0</v>
      </c>
    </row>
    <row r="51" spans="1:20" s="475" customFormat="1" ht="23.25" customHeight="1">
      <c r="A51" s="463" t="s">
        <v>474</v>
      </c>
      <c r="B51" s="478" t="s">
        <v>475</v>
      </c>
      <c r="C51" s="503">
        <f t="shared" si="13"/>
        <v>217</v>
      </c>
      <c r="D51" s="503">
        <v>179</v>
      </c>
      <c r="E51" s="503">
        <v>38</v>
      </c>
      <c r="F51" s="503">
        <v>3</v>
      </c>
      <c r="G51" s="503">
        <v>0</v>
      </c>
      <c r="H51" s="503">
        <f t="shared" si="14"/>
        <v>214</v>
      </c>
      <c r="I51" s="503">
        <f t="shared" si="15"/>
        <v>87</v>
      </c>
      <c r="J51" s="503">
        <v>34</v>
      </c>
      <c r="K51" s="503">
        <v>1</v>
      </c>
      <c r="L51" s="505">
        <v>52</v>
      </c>
      <c r="M51" s="503">
        <v>0</v>
      </c>
      <c r="N51" s="503">
        <v>0</v>
      </c>
      <c r="O51" s="503">
        <v>0</v>
      </c>
      <c r="P51" s="503">
        <v>0</v>
      </c>
      <c r="Q51" s="506">
        <f t="shared" si="16"/>
        <v>127</v>
      </c>
      <c r="R51" s="492">
        <f t="shared" si="4"/>
        <v>179</v>
      </c>
      <c r="S51" s="494">
        <f t="shared" si="2"/>
        <v>40.229885057471265</v>
      </c>
      <c r="T51" s="474">
        <f t="shared" si="5"/>
        <v>0</v>
      </c>
    </row>
    <row r="52" spans="1:20" s="475" customFormat="1" ht="23.25" customHeight="1">
      <c r="A52" s="463" t="s">
        <v>476</v>
      </c>
      <c r="B52" s="478" t="s">
        <v>477</v>
      </c>
      <c r="C52" s="503">
        <f t="shared" si="13"/>
        <v>404</v>
      </c>
      <c r="D52" s="503">
        <v>355</v>
      </c>
      <c r="E52" s="503">
        <v>49</v>
      </c>
      <c r="F52" s="503">
        <v>0</v>
      </c>
      <c r="G52" s="503">
        <v>0</v>
      </c>
      <c r="H52" s="503">
        <f t="shared" si="14"/>
        <v>404</v>
      </c>
      <c r="I52" s="503">
        <f t="shared" si="15"/>
        <v>147</v>
      </c>
      <c r="J52" s="503">
        <v>20</v>
      </c>
      <c r="K52" s="503">
        <v>0</v>
      </c>
      <c r="L52" s="505">
        <v>127</v>
      </c>
      <c r="M52" s="503">
        <v>0</v>
      </c>
      <c r="N52" s="503">
        <v>0</v>
      </c>
      <c r="O52" s="503">
        <v>0</v>
      </c>
      <c r="P52" s="503">
        <v>0</v>
      </c>
      <c r="Q52" s="506">
        <f t="shared" si="16"/>
        <v>257</v>
      </c>
      <c r="R52" s="492">
        <f t="shared" si="4"/>
        <v>384</v>
      </c>
      <c r="S52" s="494">
        <f t="shared" si="2"/>
        <v>13.60544217687075</v>
      </c>
      <c r="T52" s="474">
        <f t="shared" si="5"/>
        <v>0</v>
      </c>
    </row>
    <row r="53" spans="1:20" s="475" customFormat="1" ht="23.25" customHeight="1">
      <c r="A53" s="463" t="s">
        <v>478</v>
      </c>
      <c r="B53" s="478" t="s">
        <v>479</v>
      </c>
      <c r="C53" s="503">
        <f t="shared" si="13"/>
        <v>468</v>
      </c>
      <c r="D53" s="503">
        <v>420</v>
      </c>
      <c r="E53" s="503">
        <v>48</v>
      </c>
      <c r="F53" s="503">
        <v>5</v>
      </c>
      <c r="G53" s="503">
        <v>0</v>
      </c>
      <c r="H53" s="503">
        <f t="shared" si="14"/>
        <v>463</v>
      </c>
      <c r="I53" s="503">
        <f t="shared" si="15"/>
        <v>122</v>
      </c>
      <c r="J53" s="503">
        <v>10</v>
      </c>
      <c r="K53" s="503">
        <v>4</v>
      </c>
      <c r="L53" s="505">
        <v>108</v>
      </c>
      <c r="M53" s="503">
        <v>0</v>
      </c>
      <c r="N53" s="503">
        <v>0</v>
      </c>
      <c r="O53" s="503">
        <v>0</v>
      </c>
      <c r="P53" s="503">
        <v>0</v>
      </c>
      <c r="Q53" s="506">
        <f t="shared" si="16"/>
        <v>341</v>
      </c>
      <c r="R53" s="492">
        <f t="shared" si="4"/>
        <v>449</v>
      </c>
      <c r="S53" s="494">
        <f t="shared" si="2"/>
        <v>11.475409836065573</v>
      </c>
      <c r="T53" s="474">
        <f t="shared" si="5"/>
        <v>0</v>
      </c>
    </row>
    <row r="54" spans="1:20" s="475" customFormat="1" ht="23.25" customHeight="1">
      <c r="A54" s="463" t="s">
        <v>480</v>
      </c>
      <c r="B54" s="478" t="s">
        <v>481</v>
      </c>
      <c r="C54" s="503">
        <f t="shared" si="13"/>
        <v>380</v>
      </c>
      <c r="D54" s="503">
        <v>358</v>
      </c>
      <c r="E54" s="503">
        <v>22</v>
      </c>
      <c r="F54" s="503">
        <v>0</v>
      </c>
      <c r="G54" s="503">
        <v>0</v>
      </c>
      <c r="H54" s="503">
        <f t="shared" si="14"/>
        <v>380</v>
      </c>
      <c r="I54" s="503">
        <f t="shared" si="15"/>
        <v>102</v>
      </c>
      <c r="J54" s="503">
        <v>11</v>
      </c>
      <c r="K54" s="503">
        <v>0</v>
      </c>
      <c r="L54" s="505">
        <v>91</v>
      </c>
      <c r="M54" s="503">
        <v>0</v>
      </c>
      <c r="N54" s="503">
        <v>0</v>
      </c>
      <c r="O54" s="503">
        <v>0</v>
      </c>
      <c r="P54" s="503">
        <v>0</v>
      </c>
      <c r="Q54" s="506">
        <f t="shared" si="16"/>
        <v>278</v>
      </c>
      <c r="R54" s="492">
        <f t="shared" si="4"/>
        <v>369</v>
      </c>
      <c r="S54" s="494">
        <f t="shared" si="2"/>
        <v>10.784313725490197</v>
      </c>
      <c r="T54" s="474">
        <f t="shared" si="5"/>
        <v>0</v>
      </c>
    </row>
    <row r="55" spans="1:20" s="475" customFormat="1" ht="23.25" customHeight="1">
      <c r="A55" s="463" t="s">
        <v>482</v>
      </c>
      <c r="B55" s="478" t="s">
        <v>483</v>
      </c>
      <c r="C55" s="503">
        <f>D55+E55</f>
        <v>0</v>
      </c>
      <c r="D55" s="503">
        <v>0</v>
      </c>
      <c r="E55" s="504">
        <v>0</v>
      </c>
      <c r="F55" s="503">
        <v>0</v>
      </c>
      <c r="G55" s="503">
        <v>0</v>
      </c>
      <c r="H55" s="503">
        <f>C55-F55</f>
        <v>0</v>
      </c>
      <c r="I55" s="503">
        <v>0</v>
      </c>
      <c r="J55" s="503">
        <v>0</v>
      </c>
      <c r="K55" s="503">
        <v>0</v>
      </c>
      <c r="L55" s="505">
        <v>0</v>
      </c>
      <c r="M55" s="503">
        <v>0</v>
      </c>
      <c r="N55" s="503">
        <v>0</v>
      </c>
      <c r="O55" s="503">
        <v>0</v>
      </c>
      <c r="P55" s="503">
        <v>0</v>
      </c>
      <c r="Q55" s="506">
        <f>H55-I55</f>
        <v>0</v>
      </c>
      <c r="R55" s="492">
        <f t="shared" si="4"/>
        <v>0</v>
      </c>
      <c r="S55" s="494" t="e">
        <f t="shared" si="2"/>
        <v>#DIV/0!</v>
      </c>
      <c r="T55" s="474">
        <f t="shared" si="5"/>
        <v>0</v>
      </c>
    </row>
    <row r="56" spans="1:20" s="566" customFormat="1" ht="23.25" customHeight="1">
      <c r="A56" s="426">
        <v>6</v>
      </c>
      <c r="B56" s="430" t="s">
        <v>484</v>
      </c>
      <c r="C56" s="490">
        <f>SUM(C57:C60)</f>
        <v>671</v>
      </c>
      <c r="D56" s="490">
        <f aca="true" t="shared" si="17" ref="D56:Q56">SUM(D57:D60)</f>
        <v>365</v>
      </c>
      <c r="E56" s="490">
        <f t="shared" si="17"/>
        <v>306</v>
      </c>
      <c r="F56" s="490">
        <f t="shared" si="17"/>
        <v>1</v>
      </c>
      <c r="G56" s="490">
        <f t="shared" si="17"/>
        <v>0</v>
      </c>
      <c r="H56" s="490">
        <f t="shared" si="17"/>
        <v>670</v>
      </c>
      <c r="I56" s="490">
        <f t="shared" si="17"/>
        <v>410</v>
      </c>
      <c r="J56" s="490">
        <f t="shared" si="17"/>
        <v>251</v>
      </c>
      <c r="K56" s="490">
        <f t="shared" si="17"/>
        <v>2</v>
      </c>
      <c r="L56" s="490">
        <f t="shared" si="17"/>
        <v>150</v>
      </c>
      <c r="M56" s="490">
        <f t="shared" si="17"/>
        <v>5</v>
      </c>
      <c r="N56" s="490">
        <f t="shared" si="17"/>
        <v>1</v>
      </c>
      <c r="O56" s="490">
        <f t="shared" si="17"/>
        <v>0</v>
      </c>
      <c r="P56" s="490">
        <f t="shared" si="17"/>
        <v>1</v>
      </c>
      <c r="Q56" s="490">
        <f t="shared" si="17"/>
        <v>260</v>
      </c>
      <c r="R56" s="490">
        <f t="shared" si="4"/>
        <v>417</v>
      </c>
      <c r="S56" s="564">
        <f t="shared" si="2"/>
        <v>61.70731707317073</v>
      </c>
      <c r="T56" s="565">
        <f t="shared" si="5"/>
        <v>0</v>
      </c>
    </row>
    <row r="57" spans="1:20" s="475" customFormat="1" ht="23.25" customHeight="1">
      <c r="A57" s="458">
        <v>1</v>
      </c>
      <c r="B57" s="464" t="s">
        <v>572</v>
      </c>
      <c r="C57" s="499">
        <f>D57+E57</f>
        <v>83</v>
      </c>
      <c r="D57" s="499">
        <v>35</v>
      </c>
      <c r="E57" s="499">
        <v>48</v>
      </c>
      <c r="F57" s="499"/>
      <c r="G57" s="499"/>
      <c r="H57" s="499">
        <f>I57+Q57</f>
        <v>83</v>
      </c>
      <c r="I57" s="499">
        <f>J57+K57+L57+M57+N57+O57+P57</f>
        <v>66</v>
      </c>
      <c r="J57" s="499">
        <v>30</v>
      </c>
      <c r="K57" s="499">
        <v>1</v>
      </c>
      <c r="L57" s="500">
        <v>33</v>
      </c>
      <c r="M57" s="500">
        <v>1</v>
      </c>
      <c r="N57" s="507"/>
      <c r="O57" s="507"/>
      <c r="P57" s="507">
        <v>1</v>
      </c>
      <c r="Q57" s="507">
        <v>17</v>
      </c>
      <c r="R57" s="492">
        <f t="shared" si="4"/>
        <v>52</v>
      </c>
      <c r="S57" s="494">
        <f t="shared" si="2"/>
        <v>46.96969696969697</v>
      </c>
      <c r="T57" s="474">
        <f t="shared" si="5"/>
        <v>0</v>
      </c>
    </row>
    <row r="58" spans="1:20" s="475" customFormat="1" ht="23.25" customHeight="1">
      <c r="A58" s="458">
        <v>2</v>
      </c>
      <c r="B58" s="464" t="s">
        <v>573</v>
      </c>
      <c r="C58" s="499">
        <f>D58+E58</f>
        <v>124</v>
      </c>
      <c r="D58" s="499">
        <v>81</v>
      </c>
      <c r="E58" s="499">
        <v>43</v>
      </c>
      <c r="F58" s="499"/>
      <c r="G58" s="499"/>
      <c r="H58" s="499">
        <f>I58+Q58</f>
        <v>124</v>
      </c>
      <c r="I58" s="499">
        <f>J58+K58+L58+M58+N58+O58+P58</f>
        <v>61</v>
      </c>
      <c r="J58" s="499">
        <v>41</v>
      </c>
      <c r="K58" s="499"/>
      <c r="L58" s="500">
        <v>20</v>
      </c>
      <c r="M58" s="500"/>
      <c r="N58" s="507"/>
      <c r="O58" s="507"/>
      <c r="P58" s="507"/>
      <c r="Q58" s="507">
        <v>63</v>
      </c>
      <c r="R58" s="492">
        <f t="shared" si="4"/>
        <v>83</v>
      </c>
      <c r="S58" s="494">
        <f t="shared" si="2"/>
        <v>67.21311475409836</v>
      </c>
      <c r="T58" s="474">
        <f t="shared" si="5"/>
        <v>0</v>
      </c>
    </row>
    <row r="59" spans="1:20" s="475" customFormat="1" ht="23.25" customHeight="1">
      <c r="A59" s="458">
        <v>3</v>
      </c>
      <c r="B59" s="464" t="s">
        <v>487</v>
      </c>
      <c r="C59" s="499">
        <f>D59+E59</f>
        <v>225</v>
      </c>
      <c r="D59" s="499">
        <v>108</v>
      </c>
      <c r="E59" s="499">
        <v>117</v>
      </c>
      <c r="F59" s="499">
        <v>1</v>
      </c>
      <c r="G59" s="499"/>
      <c r="H59" s="499">
        <f>I59+Q59</f>
        <v>224</v>
      </c>
      <c r="I59" s="499">
        <f>J59+K59+L59+M59+N59+O59+P59</f>
        <v>151</v>
      </c>
      <c r="J59" s="499">
        <v>95</v>
      </c>
      <c r="K59" s="499"/>
      <c r="L59" s="500">
        <v>53</v>
      </c>
      <c r="M59" s="500">
        <v>2</v>
      </c>
      <c r="N59" s="507">
        <v>1</v>
      </c>
      <c r="O59" s="507"/>
      <c r="P59" s="507"/>
      <c r="Q59" s="507">
        <v>73</v>
      </c>
      <c r="R59" s="492">
        <f t="shared" si="4"/>
        <v>129</v>
      </c>
      <c r="S59" s="494">
        <f t="shared" si="2"/>
        <v>62.913907284768214</v>
      </c>
      <c r="T59" s="474">
        <f t="shared" si="5"/>
        <v>0</v>
      </c>
    </row>
    <row r="60" spans="1:20" s="475" customFormat="1" ht="23.25" customHeight="1">
      <c r="A60" s="458">
        <v>4</v>
      </c>
      <c r="B60" s="464" t="s">
        <v>574</v>
      </c>
      <c r="C60" s="499">
        <f>D60+E60</f>
        <v>239</v>
      </c>
      <c r="D60" s="499">
        <v>141</v>
      </c>
      <c r="E60" s="499">
        <v>98</v>
      </c>
      <c r="F60" s="499"/>
      <c r="G60" s="499"/>
      <c r="H60" s="499">
        <f>I60+Q60</f>
        <v>239</v>
      </c>
      <c r="I60" s="499">
        <f>J60+K60+L60+M60+N60+O60+P60</f>
        <v>132</v>
      </c>
      <c r="J60" s="499">
        <v>85</v>
      </c>
      <c r="K60" s="499">
        <v>1</v>
      </c>
      <c r="L60" s="500">
        <v>44</v>
      </c>
      <c r="M60" s="500">
        <v>2</v>
      </c>
      <c r="N60" s="507"/>
      <c r="O60" s="507"/>
      <c r="P60" s="507"/>
      <c r="Q60" s="507">
        <v>107</v>
      </c>
      <c r="R60" s="492">
        <f t="shared" si="4"/>
        <v>153</v>
      </c>
      <c r="S60" s="494">
        <f t="shared" si="2"/>
        <v>65.15151515151516</v>
      </c>
      <c r="T60" s="474">
        <f t="shared" si="5"/>
        <v>0</v>
      </c>
    </row>
    <row r="61" spans="1:20" s="566" customFormat="1" ht="23.25" customHeight="1">
      <c r="A61" s="426">
        <v>7</v>
      </c>
      <c r="B61" s="427" t="s">
        <v>565</v>
      </c>
      <c r="C61" s="490">
        <f aca="true" t="shared" si="18" ref="C61:Q61">SUM(C62:C67)</f>
        <v>927</v>
      </c>
      <c r="D61" s="490">
        <f t="shared" si="18"/>
        <v>673</v>
      </c>
      <c r="E61" s="490">
        <f t="shared" si="18"/>
        <v>254</v>
      </c>
      <c r="F61" s="490">
        <f t="shared" si="18"/>
        <v>17</v>
      </c>
      <c r="G61" s="490">
        <f t="shared" si="18"/>
        <v>2</v>
      </c>
      <c r="H61" s="490">
        <f t="shared" si="18"/>
        <v>910</v>
      </c>
      <c r="I61" s="490">
        <f t="shared" si="18"/>
        <v>477</v>
      </c>
      <c r="J61" s="490">
        <f t="shared" si="18"/>
        <v>216</v>
      </c>
      <c r="K61" s="490">
        <f t="shared" si="18"/>
        <v>32</v>
      </c>
      <c r="L61" s="490">
        <f t="shared" si="18"/>
        <v>226</v>
      </c>
      <c r="M61" s="490">
        <f t="shared" si="18"/>
        <v>0</v>
      </c>
      <c r="N61" s="490">
        <f t="shared" si="18"/>
        <v>2</v>
      </c>
      <c r="O61" s="490">
        <f t="shared" si="18"/>
        <v>0</v>
      </c>
      <c r="P61" s="490">
        <f t="shared" si="18"/>
        <v>1</v>
      </c>
      <c r="Q61" s="490">
        <f t="shared" si="18"/>
        <v>433</v>
      </c>
      <c r="R61" s="490">
        <f t="shared" si="4"/>
        <v>662</v>
      </c>
      <c r="S61" s="564">
        <f t="shared" si="2"/>
        <v>51.99161425576519</v>
      </c>
      <c r="T61" s="565">
        <f t="shared" si="5"/>
        <v>0</v>
      </c>
    </row>
    <row r="62" spans="1:20" s="475" customFormat="1" ht="23.25" customHeight="1">
      <c r="A62" s="463" t="s">
        <v>43</v>
      </c>
      <c r="B62" s="479" t="s">
        <v>488</v>
      </c>
      <c r="C62" s="479">
        <f aca="true" t="shared" si="19" ref="C62:C67">D62+E62</f>
        <v>27</v>
      </c>
      <c r="D62" s="479">
        <v>9</v>
      </c>
      <c r="E62" s="479">
        <v>18</v>
      </c>
      <c r="F62" s="479"/>
      <c r="G62" s="479"/>
      <c r="H62" s="479">
        <f aca="true" t="shared" si="20" ref="H62:H67">I62+Q62</f>
        <v>27</v>
      </c>
      <c r="I62" s="479">
        <f aca="true" t="shared" si="21" ref="I62:I67">SUM(J62:P62)</f>
        <v>27</v>
      </c>
      <c r="J62" s="479">
        <v>15</v>
      </c>
      <c r="K62" s="479">
        <v>1</v>
      </c>
      <c r="L62" s="479">
        <v>11</v>
      </c>
      <c r="M62" s="479"/>
      <c r="N62" s="479"/>
      <c r="O62" s="479"/>
      <c r="P62" s="480"/>
      <c r="Q62" s="481">
        <v>0</v>
      </c>
      <c r="R62" s="492">
        <f t="shared" si="4"/>
        <v>11</v>
      </c>
      <c r="S62" s="494">
        <f t="shared" si="2"/>
        <v>59.25925925925925</v>
      </c>
      <c r="T62" s="474">
        <f t="shared" si="5"/>
        <v>0</v>
      </c>
    </row>
    <row r="63" spans="1:20" s="475" customFormat="1" ht="23.25" customHeight="1">
      <c r="A63" s="463" t="s">
        <v>44</v>
      </c>
      <c r="B63" s="479" t="s">
        <v>489</v>
      </c>
      <c r="C63" s="479">
        <f t="shared" si="19"/>
        <v>152</v>
      </c>
      <c r="D63" s="482">
        <v>115</v>
      </c>
      <c r="E63" s="482">
        <v>37</v>
      </c>
      <c r="F63" s="482">
        <v>1</v>
      </c>
      <c r="G63" s="482">
        <v>0</v>
      </c>
      <c r="H63" s="479">
        <f t="shared" si="20"/>
        <v>151</v>
      </c>
      <c r="I63" s="479">
        <f t="shared" si="21"/>
        <v>73</v>
      </c>
      <c r="J63" s="482">
        <v>26</v>
      </c>
      <c r="K63" s="482">
        <v>6</v>
      </c>
      <c r="L63" s="482">
        <v>39</v>
      </c>
      <c r="M63" s="482">
        <v>0</v>
      </c>
      <c r="N63" s="482">
        <v>2</v>
      </c>
      <c r="O63" s="482">
        <v>0</v>
      </c>
      <c r="P63" s="483">
        <v>0</v>
      </c>
      <c r="Q63" s="484">
        <v>78</v>
      </c>
      <c r="R63" s="492">
        <f t="shared" si="4"/>
        <v>119</v>
      </c>
      <c r="S63" s="494">
        <f t="shared" si="2"/>
        <v>43.83561643835616</v>
      </c>
      <c r="T63" s="474">
        <f t="shared" si="5"/>
        <v>0</v>
      </c>
    </row>
    <row r="64" spans="1:20" s="475" customFormat="1" ht="23.25" customHeight="1">
      <c r="A64" s="463" t="s">
        <v>47</v>
      </c>
      <c r="B64" s="479" t="s">
        <v>548</v>
      </c>
      <c r="C64" s="479">
        <f t="shared" si="19"/>
        <v>188</v>
      </c>
      <c r="D64" s="479">
        <v>142</v>
      </c>
      <c r="E64" s="479">
        <v>46</v>
      </c>
      <c r="F64" s="479">
        <v>9</v>
      </c>
      <c r="G64" s="479"/>
      <c r="H64" s="479">
        <f t="shared" si="20"/>
        <v>179</v>
      </c>
      <c r="I64" s="479">
        <f t="shared" si="21"/>
        <v>86</v>
      </c>
      <c r="J64" s="479">
        <v>39</v>
      </c>
      <c r="K64" s="479">
        <v>12</v>
      </c>
      <c r="L64" s="479">
        <v>35</v>
      </c>
      <c r="M64" s="479"/>
      <c r="N64" s="479"/>
      <c r="O64" s="479"/>
      <c r="P64" s="480">
        <v>0</v>
      </c>
      <c r="Q64" s="481">
        <v>93</v>
      </c>
      <c r="R64" s="492">
        <f t="shared" si="4"/>
        <v>128</v>
      </c>
      <c r="S64" s="494">
        <f t="shared" si="2"/>
        <v>59.30232558139535</v>
      </c>
      <c r="T64" s="474">
        <f t="shared" si="5"/>
        <v>0</v>
      </c>
    </row>
    <row r="65" spans="1:20" s="475" customFormat="1" ht="23.25" customHeight="1">
      <c r="A65" s="463" t="s">
        <v>56</v>
      </c>
      <c r="B65" s="479" t="s">
        <v>491</v>
      </c>
      <c r="C65" s="479">
        <f t="shared" si="19"/>
        <v>179</v>
      </c>
      <c r="D65" s="479">
        <v>133</v>
      </c>
      <c r="E65" s="479">
        <v>46</v>
      </c>
      <c r="F65" s="479">
        <v>3</v>
      </c>
      <c r="G65" s="479">
        <v>0</v>
      </c>
      <c r="H65" s="479">
        <f t="shared" si="20"/>
        <v>176</v>
      </c>
      <c r="I65" s="479">
        <f t="shared" si="21"/>
        <v>94</v>
      </c>
      <c r="J65" s="479">
        <v>50</v>
      </c>
      <c r="K65" s="479">
        <v>3</v>
      </c>
      <c r="L65" s="479">
        <v>41</v>
      </c>
      <c r="M65" s="479"/>
      <c r="N65" s="479"/>
      <c r="O65" s="479"/>
      <c r="P65" s="480">
        <v>0</v>
      </c>
      <c r="Q65" s="481">
        <v>82</v>
      </c>
      <c r="R65" s="492">
        <f t="shared" si="4"/>
        <v>123</v>
      </c>
      <c r="S65" s="494">
        <f t="shared" si="2"/>
        <v>56.38297872340425</v>
      </c>
      <c r="T65" s="474">
        <f t="shared" si="5"/>
        <v>0</v>
      </c>
    </row>
    <row r="66" spans="1:20" s="475" customFormat="1" ht="23.25" customHeight="1">
      <c r="A66" s="463" t="s">
        <v>57</v>
      </c>
      <c r="B66" s="479" t="s">
        <v>492</v>
      </c>
      <c r="C66" s="479">
        <f t="shared" si="19"/>
        <v>171</v>
      </c>
      <c r="D66" s="479">
        <v>122</v>
      </c>
      <c r="E66" s="479">
        <v>49</v>
      </c>
      <c r="F66" s="479"/>
      <c r="G66" s="479"/>
      <c r="H66" s="479">
        <f t="shared" si="20"/>
        <v>171</v>
      </c>
      <c r="I66" s="479">
        <f t="shared" si="21"/>
        <v>100</v>
      </c>
      <c r="J66" s="479">
        <v>43</v>
      </c>
      <c r="K66" s="479"/>
      <c r="L66" s="479">
        <v>56</v>
      </c>
      <c r="M66" s="479"/>
      <c r="N66" s="479"/>
      <c r="O66" s="479"/>
      <c r="P66" s="480">
        <v>1</v>
      </c>
      <c r="Q66" s="481">
        <v>71</v>
      </c>
      <c r="R66" s="492">
        <f t="shared" si="4"/>
        <v>128</v>
      </c>
      <c r="S66" s="494">
        <f t="shared" si="2"/>
        <v>43</v>
      </c>
      <c r="T66" s="474">
        <f t="shared" si="5"/>
        <v>0</v>
      </c>
    </row>
    <row r="67" spans="1:20" s="475" customFormat="1" ht="23.25" customHeight="1">
      <c r="A67" s="463" t="s">
        <v>58</v>
      </c>
      <c r="B67" s="479" t="s">
        <v>493</v>
      </c>
      <c r="C67" s="479">
        <f t="shared" si="19"/>
        <v>210</v>
      </c>
      <c r="D67" s="479">
        <v>152</v>
      </c>
      <c r="E67" s="479">
        <v>58</v>
      </c>
      <c r="F67" s="479">
        <v>4</v>
      </c>
      <c r="G67" s="479">
        <v>2</v>
      </c>
      <c r="H67" s="479">
        <f t="shared" si="20"/>
        <v>206</v>
      </c>
      <c r="I67" s="479">
        <f t="shared" si="21"/>
        <v>97</v>
      </c>
      <c r="J67" s="479">
        <v>43</v>
      </c>
      <c r="K67" s="479">
        <v>10</v>
      </c>
      <c r="L67" s="479">
        <f>48-4</f>
        <v>44</v>
      </c>
      <c r="M67" s="479"/>
      <c r="N67" s="479"/>
      <c r="O67" s="479"/>
      <c r="P67" s="480">
        <v>0</v>
      </c>
      <c r="Q67" s="481">
        <v>109</v>
      </c>
      <c r="R67" s="492">
        <f t="shared" si="4"/>
        <v>153</v>
      </c>
      <c r="S67" s="494">
        <f t="shared" si="2"/>
        <v>54.63917525773196</v>
      </c>
      <c r="T67" s="474">
        <f t="shared" si="5"/>
        <v>0</v>
      </c>
    </row>
    <row r="68" spans="1:20" s="566" customFormat="1" ht="23.25" customHeight="1">
      <c r="A68" s="426">
        <v>8</v>
      </c>
      <c r="B68" s="430" t="s">
        <v>494</v>
      </c>
      <c r="C68" s="569">
        <f>C69+C70+C71</f>
        <v>418</v>
      </c>
      <c r="D68" s="569">
        <f aca="true" t="shared" si="22" ref="D68:Q68">D69+D70+D71</f>
        <v>227</v>
      </c>
      <c r="E68" s="569">
        <f t="shared" si="22"/>
        <v>191</v>
      </c>
      <c r="F68" s="569">
        <f t="shared" si="22"/>
        <v>2</v>
      </c>
      <c r="G68" s="569">
        <f t="shared" si="22"/>
        <v>1</v>
      </c>
      <c r="H68" s="569">
        <f t="shared" si="22"/>
        <v>416</v>
      </c>
      <c r="I68" s="569">
        <f t="shared" si="22"/>
        <v>237</v>
      </c>
      <c r="J68" s="569">
        <f t="shared" si="22"/>
        <v>144</v>
      </c>
      <c r="K68" s="569">
        <f t="shared" si="22"/>
        <v>0</v>
      </c>
      <c r="L68" s="569">
        <f t="shared" si="22"/>
        <v>92</v>
      </c>
      <c r="M68" s="569">
        <f t="shared" si="22"/>
        <v>0</v>
      </c>
      <c r="N68" s="569">
        <f t="shared" si="22"/>
        <v>1</v>
      </c>
      <c r="O68" s="569">
        <f t="shared" si="22"/>
        <v>0</v>
      </c>
      <c r="P68" s="569">
        <f t="shared" si="22"/>
        <v>0</v>
      </c>
      <c r="Q68" s="569">
        <f t="shared" si="22"/>
        <v>179</v>
      </c>
      <c r="R68" s="490">
        <f t="shared" si="4"/>
        <v>272</v>
      </c>
      <c r="S68" s="564">
        <f t="shared" si="2"/>
        <v>60.75949367088608</v>
      </c>
      <c r="T68" s="565">
        <f t="shared" si="5"/>
        <v>0</v>
      </c>
    </row>
    <row r="69" spans="1:20" s="475" customFormat="1" ht="23.25" customHeight="1">
      <c r="A69" s="463" t="s">
        <v>495</v>
      </c>
      <c r="B69" s="462" t="s">
        <v>496</v>
      </c>
      <c r="C69" s="508">
        <f>D69+E69</f>
        <v>124</v>
      </c>
      <c r="D69" s="508">
        <v>53</v>
      </c>
      <c r="E69" s="508">
        <v>71</v>
      </c>
      <c r="F69" s="508">
        <v>1</v>
      </c>
      <c r="G69" s="508"/>
      <c r="H69" s="508">
        <f>I69+Q69</f>
        <v>123</v>
      </c>
      <c r="I69" s="508">
        <f>J69+K69+L69+M69+N69+O69+P69</f>
        <v>86</v>
      </c>
      <c r="J69" s="508">
        <v>61</v>
      </c>
      <c r="K69" s="508">
        <v>0</v>
      </c>
      <c r="L69" s="508">
        <v>25</v>
      </c>
      <c r="M69" s="508"/>
      <c r="N69" s="508"/>
      <c r="O69" s="508"/>
      <c r="P69" s="508"/>
      <c r="Q69" s="508">
        <v>37</v>
      </c>
      <c r="R69" s="492">
        <f t="shared" si="4"/>
        <v>62</v>
      </c>
      <c r="S69" s="494">
        <f t="shared" si="2"/>
        <v>70.93023255813954</v>
      </c>
      <c r="T69" s="474">
        <f t="shared" si="5"/>
        <v>0</v>
      </c>
    </row>
    <row r="70" spans="1:20" s="475" customFormat="1" ht="23.25" customHeight="1">
      <c r="A70" s="463" t="s">
        <v>497</v>
      </c>
      <c r="B70" s="462" t="s">
        <v>498</v>
      </c>
      <c r="C70" s="508">
        <f>D70+E70</f>
        <v>125</v>
      </c>
      <c r="D70" s="508">
        <v>64</v>
      </c>
      <c r="E70" s="508">
        <v>61</v>
      </c>
      <c r="F70" s="508">
        <v>1</v>
      </c>
      <c r="G70" s="508">
        <v>1</v>
      </c>
      <c r="H70" s="508">
        <f>I70+Q70</f>
        <v>124</v>
      </c>
      <c r="I70" s="508">
        <f>J70+K70+L70+M70+N70+O70+P70</f>
        <v>75</v>
      </c>
      <c r="J70" s="508">
        <v>42</v>
      </c>
      <c r="K70" s="508">
        <v>0</v>
      </c>
      <c r="L70" s="508">
        <v>32</v>
      </c>
      <c r="M70" s="508"/>
      <c r="N70" s="508">
        <v>1</v>
      </c>
      <c r="O70" s="508"/>
      <c r="P70" s="508"/>
      <c r="Q70" s="508">
        <v>49</v>
      </c>
      <c r="R70" s="492">
        <f t="shared" si="4"/>
        <v>82</v>
      </c>
      <c r="S70" s="494">
        <f t="shared" si="2"/>
        <v>56.00000000000001</v>
      </c>
      <c r="T70" s="474">
        <f t="shared" si="5"/>
        <v>0</v>
      </c>
    </row>
    <row r="71" spans="1:20" s="475" customFormat="1" ht="23.25" customHeight="1">
      <c r="A71" s="463" t="s">
        <v>549</v>
      </c>
      <c r="B71" s="462" t="s">
        <v>490</v>
      </c>
      <c r="C71" s="508">
        <f>D71+E71</f>
        <v>169</v>
      </c>
      <c r="D71" s="508">
        <v>110</v>
      </c>
      <c r="E71" s="508">
        <v>59</v>
      </c>
      <c r="F71" s="508"/>
      <c r="G71" s="508"/>
      <c r="H71" s="508">
        <f>I71+Q71</f>
        <v>169</v>
      </c>
      <c r="I71" s="508">
        <f>J71+K71+L71+M71+N71+O71+P71</f>
        <v>76</v>
      </c>
      <c r="J71" s="508">
        <v>41</v>
      </c>
      <c r="K71" s="508"/>
      <c r="L71" s="508">
        <v>35</v>
      </c>
      <c r="M71" s="508"/>
      <c r="N71" s="508"/>
      <c r="O71" s="508"/>
      <c r="P71" s="508"/>
      <c r="Q71" s="508">
        <v>93</v>
      </c>
      <c r="R71" s="492">
        <f t="shared" si="4"/>
        <v>128</v>
      </c>
      <c r="S71" s="494">
        <f t="shared" si="2"/>
        <v>53.94736842105263</v>
      </c>
      <c r="T71" s="474">
        <f t="shared" si="5"/>
        <v>0</v>
      </c>
    </row>
    <row r="72" spans="1:20" s="566" customFormat="1" ht="23.25" customHeight="1">
      <c r="A72" s="426">
        <v>9</v>
      </c>
      <c r="B72" s="430" t="s">
        <v>499</v>
      </c>
      <c r="C72" s="570">
        <f>SUM(C73:C75)</f>
        <v>362</v>
      </c>
      <c r="D72" s="570">
        <f aca="true" t="shared" si="23" ref="D72:Q72">SUM(D73:D75)</f>
        <v>199</v>
      </c>
      <c r="E72" s="570">
        <f t="shared" si="23"/>
        <v>163</v>
      </c>
      <c r="F72" s="570">
        <f t="shared" si="23"/>
        <v>2</v>
      </c>
      <c r="G72" s="570">
        <f t="shared" si="23"/>
        <v>0</v>
      </c>
      <c r="H72" s="570">
        <f t="shared" si="23"/>
        <v>360</v>
      </c>
      <c r="I72" s="570">
        <f t="shared" si="23"/>
        <v>243</v>
      </c>
      <c r="J72" s="570">
        <f t="shared" si="23"/>
        <v>149</v>
      </c>
      <c r="K72" s="570">
        <f t="shared" si="23"/>
        <v>5</v>
      </c>
      <c r="L72" s="570">
        <f t="shared" si="23"/>
        <v>89</v>
      </c>
      <c r="M72" s="570">
        <f t="shared" si="23"/>
        <v>0</v>
      </c>
      <c r="N72" s="570">
        <f t="shared" si="23"/>
        <v>0</v>
      </c>
      <c r="O72" s="570">
        <f t="shared" si="23"/>
        <v>0</v>
      </c>
      <c r="P72" s="570">
        <f t="shared" si="23"/>
        <v>0</v>
      </c>
      <c r="Q72" s="570">
        <f t="shared" si="23"/>
        <v>117</v>
      </c>
      <c r="R72" s="490">
        <f t="shared" si="4"/>
        <v>206</v>
      </c>
      <c r="S72" s="564">
        <f t="shared" si="2"/>
        <v>63.37448559670782</v>
      </c>
      <c r="T72" s="565">
        <f t="shared" si="5"/>
        <v>0</v>
      </c>
    </row>
    <row r="73" spans="1:20" s="475" customFormat="1" ht="23.25" customHeight="1">
      <c r="A73" s="460" t="s">
        <v>500</v>
      </c>
      <c r="B73" s="460" t="s">
        <v>501</v>
      </c>
      <c r="C73" s="479">
        <f>SUM(D73:E73)</f>
        <v>107</v>
      </c>
      <c r="D73" s="479">
        <v>52</v>
      </c>
      <c r="E73" s="479">
        <f>18+20+6+11</f>
        <v>55</v>
      </c>
      <c r="F73" s="479">
        <f>1</f>
        <v>1</v>
      </c>
      <c r="G73" s="479">
        <v>0</v>
      </c>
      <c r="H73" s="479">
        <f>SUM(I73,Q73)</f>
        <v>106</v>
      </c>
      <c r="I73" s="479">
        <f>SUM(J73:P73)</f>
        <v>71</v>
      </c>
      <c r="J73" s="479">
        <f>37+7+12</f>
        <v>56</v>
      </c>
      <c r="K73" s="479">
        <v>1</v>
      </c>
      <c r="L73" s="479">
        <f>C73-J73-K73-M73-N73-O73-P73-Q73-F73-G73</f>
        <v>14</v>
      </c>
      <c r="M73" s="479">
        <v>0</v>
      </c>
      <c r="N73" s="479">
        <v>0</v>
      </c>
      <c r="O73" s="479">
        <v>0</v>
      </c>
      <c r="P73" s="480">
        <v>0</v>
      </c>
      <c r="Q73" s="481">
        <v>35</v>
      </c>
      <c r="R73" s="492">
        <f t="shared" si="4"/>
        <v>49</v>
      </c>
      <c r="S73" s="494">
        <f t="shared" si="2"/>
        <v>80.28169014084507</v>
      </c>
      <c r="T73" s="474">
        <f t="shared" si="5"/>
        <v>0</v>
      </c>
    </row>
    <row r="74" spans="1:20" s="475" customFormat="1" ht="23.25" customHeight="1">
      <c r="A74" s="460" t="s">
        <v>502</v>
      </c>
      <c r="B74" s="460" t="s">
        <v>503</v>
      </c>
      <c r="C74" s="479">
        <f>SUM(D74:E74)</f>
        <v>154</v>
      </c>
      <c r="D74" s="479">
        <v>98</v>
      </c>
      <c r="E74" s="479">
        <f>15+12+10+9+10</f>
        <v>56</v>
      </c>
      <c r="F74" s="479">
        <v>0</v>
      </c>
      <c r="G74" s="479">
        <v>0</v>
      </c>
      <c r="H74" s="479">
        <f>SUM(I74,Q74)</f>
        <v>154</v>
      </c>
      <c r="I74" s="479">
        <f>SUM(J74:P74)</f>
        <v>107</v>
      </c>
      <c r="J74" s="479">
        <f>8+8+10+15+9</f>
        <v>50</v>
      </c>
      <c r="K74" s="479">
        <v>3</v>
      </c>
      <c r="L74" s="479">
        <f>C74-J74-K74-M74-N74-O74-P74-Q74-F74-G74</f>
        <v>54</v>
      </c>
      <c r="M74" s="479">
        <v>0</v>
      </c>
      <c r="N74" s="479">
        <v>0</v>
      </c>
      <c r="O74" s="479">
        <v>0</v>
      </c>
      <c r="P74" s="480">
        <v>0</v>
      </c>
      <c r="Q74" s="481">
        <v>47</v>
      </c>
      <c r="R74" s="492">
        <f t="shared" si="4"/>
        <v>101</v>
      </c>
      <c r="S74" s="494">
        <f t="shared" si="2"/>
        <v>49.532710280373834</v>
      </c>
      <c r="T74" s="474">
        <f t="shared" si="5"/>
        <v>0</v>
      </c>
    </row>
    <row r="75" spans="1:20" s="475" customFormat="1" ht="23.25" customHeight="1">
      <c r="A75" s="460" t="s">
        <v>504</v>
      </c>
      <c r="B75" s="460" t="s">
        <v>505</v>
      </c>
      <c r="C75" s="479">
        <f>SUM(D75:E75)</f>
        <v>101</v>
      </c>
      <c r="D75" s="479">
        <v>49</v>
      </c>
      <c r="E75" s="479">
        <f>11+22+15+4</f>
        <v>52</v>
      </c>
      <c r="F75" s="479">
        <f>1</f>
        <v>1</v>
      </c>
      <c r="G75" s="479">
        <v>0</v>
      </c>
      <c r="H75" s="479">
        <f>SUM(I75,Q75)</f>
        <v>100</v>
      </c>
      <c r="I75" s="479">
        <f>SUM(J75:P75)</f>
        <v>65</v>
      </c>
      <c r="J75" s="479">
        <f>31+4+8</f>
        <v>43</v>
      </c>
      <c r="K75" s="479">
        <f>1</f>
        <v>1</v>
      </c>
      <c r="L75" s="479">
        <f>C75-J75-K75-M75-N75-O75-P75-Q75-F75-G75</f>
        <v>21</v>
      </c>
      <c r="M75" s="479">
        <v>0</v>
      </c>
      <c r="N75" s="479">
        <v>0</v>
      </c>
      <c r="O75" s="479">
        <v>0</v>
      </c>
      <c r="P75" s="480">
        <f>0</f>
        <v>0</v>
      </c>
      <c r="Q75" s="481">
        <v>35</v>
      </c>
      <c r="R75" s="492">
        <f t="shared" si="4"/>
        <v>56</v>
      </c>
      <c r="S75" s="494">
        <f t="shared" si="2"/>
        <v>67.6923076923077</v>
      </c>
      <c r="T75" s="474">
        <f t="shared" si="5"/>
        <v>0</v>
      </c>
    </row>
    <row r="76" spans="1:20" s="566" customFormat="1" ht="23.25" customHeight="1">
      <c r="A76" s="426">
        <v>10</v>
      </c>
      <c r="B76" s="430" t="s">
        <v>506</v>
      </c>
      <c r="C76" s="571">
        <f>SUM(C77:C86)</f>
        <v>1545</v>
      </c>
      <c r="D76" s="571">
        <f aca="true" t="shared" si="24" ref="D76:Q76">SUM(D77:D86)</f>
        <v>1225</v>
      </c>
      <c r="E76" s="571">
        <f t="shared" si="24"/>
        <v>320</v>
      </c>
      <c r="F76" s="571">
        <f t="shared" si="24"/>
        <v>11</v>
      </c>
      <c r="G76" s="571">
        <f t="shared" si="24"/>
        <v>7</v>
      </c>
      <c r="H76" s="571">
        <f t="shared" si="24"/>
        <v>1534</v>
      </c>
      <c r="I76" s="571">
        <f t="shared" si="24"/>
        <v>687</v>
      </c>
      <c r="J76" s="571">
        <f t="shared" si="24"/>
        <v>206</v>
      </c>
      <c r="K76" s="571">
        <f t="shared" si="24"/>
        <v>16</v>
      </c>
      <c r="L76" s="571">
        <f t="shared" si="24"/>
        <v>450</v>
      </c>
      <c r="M76" s="571">
        <f t="shared" si="24"/>
        <v>10</v>
      </c>
      <c r="N76" s="571">
        <f t="shared" si="24"/>
        <v>0</v>
      </c>
      <c r="O76" s="571">
        <f t="shared" si="24"/>
        <v>0</v>
      </c>
      <c r="P76" s="571">
        <f t="shared" si="24"/>
        <v>5</v>
      </c>
      <c r="Q76" s="571">
        <f t="shared" si="24"/>
        <v>847</v>
      </c>
      <c r="R76" s="490">
        <f t="shared" si="4"/>
        <v>1312</v>
      </c>
      <c r="S76" s="564">
        <f aca="true" t="shared" si="25" ref="S76:S113">(J76+K76)/I76*100</f>
        <v>32.314410480349345</v>
      </c>
      <c r="T76" s="565">
        <f>1225-D76</f>
        <v>0</v>
      </c>
    </row>
    <row r="77" spans="1:20" s="475" customFormat="1" ht="23.25" customHeight="1">
      <c r="A77" s="465" t="s">
        <v>533</v>
      </c>
      <c r="B77" s="466" t="s">
        <v>473</v>
      </c>
      <c r="C77" s="509">
        <v>28</v>
      </c>
      <c r="D77" s="509">
        <v>25</v>
      </c>
      <c r="E77" s="509">
        <v>3</v>
      </c>
      <c r="F77" s="509">
        <v>0</v>
      </c>
      <c r="G77" s="509">
        <v>0</v>
      </c>
      <c r="H77" s="509">
        <v>28</v>
      </c>
      <c r="I77" s="509">
        <v>5</v>
      </c>
      <c r="J77" s="509">
        <v>2</v>
      </c>
      <c r="K77" s="509">
        <v>0</v>
      </c>
      <c r="L77" s="509">
        <v>3</v>
      </c>
      <c r="M77" s="509">
        <v>0</v>
      </c>
      <c r="N77" s="509">
        <v>0</v>
      </c>
      <c r="O77" s="509">
        <v>0</v>
      </c>
      <c r="P77" s="509">
        <v>0</v>
      </c>
      <c r="Q77" s="509">
        <v>23</v>
      </c>
      <c r="R77" s="492">
        <f aca="true" t="shared" si="26" ref="R77:R113">SUM(L77:Q77)</f>
        <v>26</v>
      </c>
      <c r="S77" s="494">
        <f t="shared" si="25"/>
        <v>40</v>
      </c>
      <c r="T77" s="474">
        <f aca="true" t="shared" si="27" ref="T77:T113">C77-F77-H77</f>
        <v>0</v>
      </c>
    </row>
    <row r="78" spans="1:20" s="475" customFormat="1" ht="23.25" customHeight="1">
      <c r="A78" s="465" t="s">
        <v>566</v>
      </c>
      <c r="B78" s="466" t="s">
        <v>567</v>
      </c>
      <c r="C78" s="509">
        <v>164</v>
      </c>
      <c r="D78" s="509">
        <v>128</v>
      </c>
      <c r="E78" s="509">
        <v>36</v>
      </c>
      <c r="F78" s="509">
        <v>1</v>
      </c>
      <c r="G78" s="509">
        <v>7</v>
      </c>
      <c r="H78" s="509">
        <v>163</v>
      </c>
      <c r="I78" s="509">
        <v>60</v>
      </c>
      <c r="J78" s="509">
        <v>18</v>
      </c>
      <c r="K78" s="509">
        <v>1</v>
      </c>
      <c r="L78" s="509">
        <v>41</v>
      </c>
      <c r="M78" s="509">
        <v>0</v>
      </c>
      <c r="N78" s="509">
        <v>0</v>
      </c>
      <c r="O78" s="509">
        <v>0</v>
      </c>
      <c r="P78" s="509">
        <v>0</v>
      </c>
      <c r="Q78" s="509">
        <v>103</v>
      </c>
      <c r="R78" s="492">
        <f t="shared" si="26"/>
        <v>144</v>
      </c>
      <c r="S78" s="494">
        <f t="shared" si="25"/>
        <v>31.666666666666664</v>
      </c>
      <c r="T78" s="474">
        <f t="shared" si="27"/>
        <v>0</v>
      </c>
    </row>
    <row r="79" spans="1:20" s="475" customFormat="1" ht="23.25" customHeight="1">
      <c r="A79" s="465" t="s">
        <v>534</v>
      </c>
      <c r="B79" s="466" t="s">
        <v>507</v>
      </c>
      <c r="C79" s="509">
        <v>214</v>
      </c>
      <c r="D79" s="509">
        <v>165</v>
      </c>
      <c r="E79" s="509">
        <v>49</v>
      </c>
      <c r="F79" s="509">
        <v>0</v>
      </c>
      <c r="G79" s="509">
        <v>0</v>
      </c>
      <c r="H79" s="509">
        <v>214</v>
      </c>
      <c r="I79" s="509">
        <v>95</v>
      </c>
      <c r="J79" s="509">
        <v>27</v>
      </c>
      <c r="K79" s="509">
        <v>1</v>
      </c>
      <c r="L79" s="509">
        <v>64</v>
      </c>
      <c r="M79" s="509">
        <v>0</v>
      </c>
      <c r="N79" s="509">
        <v>0</v>
      </c>
      <c r="O79" s="509">
        <v>0</v>
      </c>
      <c r="P79" s="509">
        <v>3</v>
      </c>
      <c r="Q79" s="509">
        <v>119</v>
      </c>
      <c r="R79" s="492">
        <f t="shared" si="26"/>
        <v>186</v>
      </c>
      <c r="S79" s="494">
        <f t="shared" si="25"/>
        <v>29.47368421052631</v>
      </c>
      <c r="T79" s="474">
        <f t="shared" si="27"/>
        <v>0</v>
      </c>
    </row>
    <row r="80" spans="1:20" s="475" customFormat="1" ht="23.25" customHeight="1">
      <c r="A80" s="465" t="s">
        <v>535</v>
      </c>
      <c r="B80" s="466" t="s">
        <v>568</v>
      </c>
      <c r="C80" s="509">
        <v>165</v>
      </c>
      <c r="D80" s="509">
        <v>142</v>
      </c>
      <c r="E80" s="509">
        <v>23</v>
      </c>
      <c r="F80" s="509">
        <v>1</v>
      </c>
      <c r="G80" s="509">
        <v>0</v>
      </c>
      <c r="H80" s="509">
        <v>164</v>
      </c>
      <c r="I80" s="509">
        <v>65</v>
      </c>
      <c r="J80" s="509">
        <v>21</v>
      </c>
      <c r="K80" s="509">
        <v>1</v>
      </c>
      <c r="L80" s="509">
        <v>41</v>
      </c>
      <c r="M80" s="509">
        <v>0</v>
      </c>
      <c r="N80" s="509">
        <v>0</v>
      </c>
      <c r="O80" s="509">
        <v>0</v>
      </c>
      <c r="P80" s="509">
        <v>2</v>
      </c>
      <c r="Q80" s="509">
        <v>99</v>
      </c>
      <c r="R80" s="492">
        <f t="shared" si="26"/>
        <v>142</v>
      </c>
      <c r="S80" s="494">
        <f t="shared" si="25"/>
        <v>33.84615384615385</v>
      </c>
      <c r="T80" s="474">
        <f t="shared" si="27"/>
        <v>0</v>
      </c>
    </row>
    <row r="81" spans="1:20" s="475" customFormat="1" ht="23.25" customHeight="1">
      <c r="A81" s="465" t="s">
        <v>536</v>
      </c>
      <c r="B81" s="466" t="s">
        <v>508</v>
      </c>
      <c r="C81" s="509">
        <v>117</v>
      </c>
      <c r="D81" s="509">
        <v>97</v>
      </c>
      <c r="E81" s="509">
        <v>20</v>
      </c>
      <c r="F81" s="509">
        <v>0</v>
      </c>
      <c r="G81" s="509">
        <v>0</v>
      </c>
      <c r="H81" s="509">
        <v>117</v>
      </c>
      <c r="I81" s="509">
        <v>63</v>
      </c>
      <c r="J81" s="509">
        <v>15</v>
      </c>
      <c r="K81" s="509">
        <v>3</v>
      </c>
      <c r="L81" s="509">
        <v>45</v>
      </c>
      <c r="M81" s="509">
        <v>0</v>
      </c>
      <c r="N81" s="509">
        <v>0</v>
      </c>
      <c r="O81" s="509">
        <v>0</v>
      </c>
      <c r="P81" s="509">
        <v>0</v>
      </c>
      <c r="Q81" s="509">
        <v>54</v>
      </c>
      <c r="R81" s="492">
        <f t="shared" si="26"/>
        <v>99</v>
      </c>
      <c r="S81" s="494">
        <f t="shared" si="25"/>
        <v>28.57142857142857</v>
      </c>
      <c r="T81" s="474">
        <f t="shared" si="27"/>
        <v>0</v>
      </c>
    </row>
    <row r="82" spans="1:20" s="475" customFormat="1" ht="23.25" customHeight="1">
      <c r="A82" s="465" t="s">
        <v>537</v>
      </c>
      <c r="B82" s="466" t="s">
        <v>510</v>
      </c>
      <c r="C82" s="509">
        <v>181</v>
      </c>
      <c r="D82" s="509">
        <v>128</v>
      </c>
      <c r="E82" s="509">
        <v>53</v>
      </c>
      <c r="F82" s="509">
        <v>2</v>
      </c>
      <c r="G82" s="509">
        <v>0</v>
      </c>
      <c r="H82" s="509">
        <v>179</v>
      </c>
      <c r="I82" s="509">
        <v>95</v>
      </c>
      <c r="J82" s="509">
        <v>27</v>
      </c>
      <c r="K82" s="509">
        <v>0</v>
      </c>
      <c r="L82" s="509">
        <v>61</v>
      </c>
      <c r="M82" s="509">
        <v>7</v>
      </c>
      <c r="N82" s="509">
        <v>0</v>
      </c>
      <c r="O82" s="509">
        <v>0</v>
      </c>
      <c r="P82" s="509">
        <v>0</v>
      </c>
      <c r="Q82" s="509">
        <v>84</v>
      </c>
      <c r="R82" s="492">
        <f t="shared" si="26"/>
        <v>152</v>
      </c>
      <c r="S82" s="494">
        <f t="shared" si="25"/>
        <v>28.421052631578945</v>
      </c>
      <c r="T82" s="474">
        <f t="shared" si="27"/>
        <v>0</v>
      </c>
    </row>
    <row r="83" spans="1:20" s="475" customFormat="1" ht="23.25" customHeight="1">
      <c r="A83" s="465" t="s">
        <v>509</v>
      </c>
      <c r="B83" s="467" t="s">
        <v>569</v>
      </c>
      <c r="C83" s="510">
        <v>191</v>
      </c>
      <c r="D83" s="510">
        <v>163</v>
      </c>
      <c r="E83" s="510">
        <v>28</v>
      </c>
      <c r="F83" s="510">
        <v>1</v>
      </c>
      <c r="G83" s="510">
        <v>0</v>
      </c>
      <c r="H83" s="510">
        <v>190</v>
      </c>
      <c r="I83" s="510">
        <v>82</v>
      </c>
      <c r="J83" s="510">
        <v>27</v>
      </c>
      <c r="K83" s="510">
        <v>0</v>
      </c>
      <c r="L83" s="510">
        <v>52</v>
      </c>
      <c r="M83" s="510">
        <v>3</v>
      </c>
      <c r="N83" s="510">
        <v>0</v>
      </c>
      <c r="O83" s="510">
        <v>0</v>
      </c>
      <c r="P83" s="510">
        <v>0</v>
      </c>
      <c r="Q83" s="510">
        <v>108</v>
      </c>
      <c r="R83" s="492">
        <f t="shared" si="26"/>
        <v>163</v>
      </c>
      <c r="S83" s="494">
        <f t="shared" si="25"/>
        <v>32.926829268292686</v>
      </c>
      <c r="T83" s="474">
        <f t="shared" si="27"/>
        <v>0</v>
      </c>
    </row>
    <row r="84" spans="1:20" s="475" customFormat="1" ht="23.25" customHeight="1">
      <c r="A84" s="465" t="s">
        <v>511</v>
      </c>
      <c r="B84" s="466" t="s">
        <v>570</v>
      </c>
      <c r="C84" s="509">
        <v>186</v>
      </c>
      <c r="D84" s="509">
        <v>142</v>
      </c>
      <c r="E84" s="509">
        <v>44</v>
      </c>
      <c r="F84" s="509">
        <v>0</v>
      </c>
      <c r="G84" s="509">
        <v>0</v>
      </c>
      <c r="H84" s="509">
        <v>186</v>
      </c>
      <c r="I84" s="509">
        <v>60</v>
      </c>
      <c r="J84" s="509">
        <v>22</v>
      </c>
      <c r="K84" s="509">
        <v>4</v>
      </c>
      <c r="L84" s="509">
        <v>34</v>
      </c>
      <c r="M84" s="509">
        <v>0</v>
      </c>
      <c r="N84" s="509">
        <v>0</v>
      </c>
      <c r="O84" s="509">
        <v>0</v>
      </c>
      <c r="P84" s="509">
        <v>0</v>
      </c>
      <c r="Q84" s="509">
        <v>126</v>
      </c>
      <c r="R84" s="492">
        <f t="shared" si="26"/>
        <v>160</v>
      </c>
      <c r="S84" s="494">
        <f t="shared" si="25"/>
        <v>43.333333333333336</v>
      </c>
      <c r="T84" s="474">
        <f t="shared" si="27"/>
        <v>0</v>
      </c>
    </row>
    <row r="85" spans="1:20" s="475" customFormat="1" ht="23.25" customHeight="1">
      <c r="A85" s="465" t="s">
        <v>512</v>
      </c>
      <c r="B85" s="466" t="s">
        <v>547</v>
      </c>
      <c r="C85" s="509">
        <v>187</v>
      </c>
      <c r="D85" s="509">
        <v>150</v>
      </c>
      <c r="E85" s="509">
        <v>37</v>
      </c>
      <c r="F85" s="509">
        <v>6</v>
      </c>
      <c r="G85" s="509">
        <v>0</v>
      </c>
      <c r="H85" s="509">
        <v>181</v>
      </c>
      <c r="I85" s="509">
        <v>79</v>
      </c>
      <c r="J85" s="509">
        <v>37</v>
      </c>
      <c r="K85" s="509">
        <v>3</v>
      </c>
      <c r="L85" s="509">
        <v>39</v>
      </c>
      <c r="M85" s="509">
        <v>0</v>
      </c>
      <c r="N85" s="509">
        <v>0</v>
      </c>
      <c r="O85" s="509">
        <v>0</v>
      </c>
      <c r="P85" s="509">
        <v>0</v>
      </c>
      <c r="Q85" s="509">
        <v>102</v>
      </c>
      <c r="R85" s="492">
        <f t="shared" si="26"/>
        <v>141</v>
      </c>
      <c r="S85" s="494">
        <f t="shared" si="25"/>
        <v>50.63291139240506</v>
      </c>
      <c r="T85" s="474">
        <f t="shared" si="27"/>
        <v>0</v>
      </c>
    </row>
    <row r="86" spans="1:20" s="475" customFormat="1" ht="23.25" customHeight="1">
      <c r="A86" s="465" t="s">
        <v>513</v>
      </c>
      <c r="B86" s="466" t="s">
        <v>575</v>
      </c>
      <c r="C86" s="509">
        <v>112</v>
      </c>
      <c r="D86" s="509">
        <v>85</v>
      </c>
      <c r="E86" s="509">
        <v>27</v>
      </c>
      <c r="F86" s="509">
        <v>0</v>
      </c>
      <c r="G86" s="509">
        <v>0</v>
      </c>
      <c r="H86" s="509">
        <v>112</v>
      </c>
      <c r="I86" s="509">
        <v>83</v>
      </c>
      <c r="J86" s="509">
        <v>10</v>
      </c>
      <c r="K86" s="509">
        <v>3</v>
      </c>
      <c r="L86" s="509">
        <v>70</v>
      </c>
      <c r="M86" s="509">
        <v>0</v>
      </c>
      <c r="N86" s="509">
        <v>0</v>
      </c>
      <c r="O86" s="509">
        <v>0</v>
      </c>
      <c r="P86" s="509">
        <v>0</v>
      </c>
      <c r="Q86" s="509">
        <v>29</v>
      </c>
      <c r="R86" s="492">
        <f t="shared" si="26"/>
        <v>99</v>
      </c>
      <c r="S86" s="494">
        <f t="shared" si="25"/>
        <v>15.66265060240964</v>
      </c>
      <c r="T86" s="474">
        <f t="shared" si="27"/>
        <v>0</v>
      </c>
    </row>
    <row r="87" spans="1:20" s="566" customFormat="1" ht="23.25" customHeight="1">
      <c r="A87" s="426">
        <v>11</v>
      </c>
      <c r="B87" s="430" t="s">
        <v>514</v>
      </c>
      <c r="C87" s="490">
        <f aca="true" t="shared" si="28" ref="C87:Q87">SUM(C88:C89)</f>
        <v>104</v>
      </c>
      <c r="D87" s="490">
        <f t="shared" si="28"/>
        <v>56</v>
      </c>
      <c r="E87" s="490">
        <f t="shared" si="28"/>
        <v>48</v>
      </c>
      <c r="F87" s="490">
        <f t="shared" si="28"/>
        <v>0</v>
      </c>
      <c r="G87" s="490">
        <f t="shared" si="28"/>
        <v>0</v>
      </c>
      <c r="H87" s="490">
        <f t="shared" si="28"/>
        <v>104</v>
      </c>
      <c r="I87" s="490">
        <f t="shared" si="28"/>
        <v>67</v>
      </c>
      <c r="J87" s="490">
        <f t="shared" si="28"/>
        <v>42</v>
      </c>
      <c r="K87" s="490">
        <f t="shared" si="28"/>
        <v>1</v>
      </c>
      <c r="L87" s="490">
        <f t="shared" si="28"/>
        <v>21</v>
      </c>
      <c r="M87" s="490">
        <f t="shared" si="28"/>
        <v>0</v>
      </c>
      <c r="N87" s="490">
        <f t="shared" si="28"/>
        <v>0</v>
      </c>
      <c r="O87" s="490">
        <f t="shared" si="28"/>
        <v>0</v>
      </c>
      <c r="P87" s="490">
        <f t="shared" si="28"/>
        <v>3</v>
      </c>
      <c r="Q87" s="490">
        <f t="shared" si="28"/>
        <v>37</v>
      </c>
      <c r="R87" s="490">
        <f t="shared" si="26"/>
        <v>61</v>
      </c>
      <c r="S87" s="564">
        <f t="shared" si="25"/>
        <v>64.17910447761194</v>
      </c>
      <c r="T87" s="565">
        <f t="shared" si="27"/>
        <v>0</v>
      </c>
    </row>
    <row r="88" spans="1:20" s="475" customFormat="1" ht="23.25" customHeight="1">
      <c r="A88" s="463" t="s">
        <v>515</v>
      </c>
      <c r="B88" s="462" t="s">
        <v>516</v>
      </c>
      <c r="C88" s="482">
        <f>D88+E88</f>
        <v>56</v>
      </c>
      <c r="D88" s="482">
        <v>23</v>
      </c>
      <c r="E88" s="482">
        <v>33</v>
      </c>
      <c r="F88" s="482">
        <v>0</v>
      </c>
      <c r="G88" s="482">
        <v>0</v>
      </c>
      <c r="H88" s="482">
        <f>I88+Q88</f>
        <v>56</v>
      </c>
      <c r="I88" s="482">
        <f>J88+K88+L88+M88+N88+O88+P88</f>
        <v>41</v>
      </c>
      <c r="J88" s="482">
        <v>29</v>
      </c>
      <c r="K88" s="482">
        <v>1</v>
      </c>
      <c r="L88" s="482">
        <v>10</v>
      </c>
      <c r="M88" s="482">
        <v>0</v>
      </c>
      <c r="N88" s="482">
        <v>0</v>
      </c>
      <c r="O88" s="482">
        <v>0</v>
      </c>
      <c r="P88" s="483">
        <v>1</v>
      </c>
      <c r="Q88" s="484">
        <v>15</v>
      </c>
      <c r="R88" s="492">
        <f t="shared" si="26"/>
        <v>26</v>
      </c>
      <c r="S88" s="494">
        <f t="shared" si="25"/>
        <v>73.17073170731707</v>
      </c>
      <c r="T88" s="474">
        <f t="shared" si="27"/>
        <v>0</v>
      </c>
    </row>
    <row r="89" spans="1:20" s="475" customFormat="1" ht="23.25" customHeight="1">
      <c r="A89" s="463" t="s">
        <v>517</v>
      </c>
      <c r="B89" s="462" t="s">
        <v>518</v>
      </c>
      <c r="C89" s="482">
        <f>D89+E89</f>
        <v>48</v>
      </c>
      <c r="D89" s="482">
        <v>33</v>
      </c>
      <c r="E89" s="482">
        <v>15</v>
      </c>
      <c r="F89" s="482">
        <v>0</v>
      </c>
      <c r="G89" s="482">
        <v>0</v>
      </c>
      <c r="H89" s="482">
        <f>I89+Q89</f>
        <v>48</v>
      </c>
      <c r="I89" s="482">
        <f>J89+K89+L89+M89+N89+O89+P89</f>
        <v>26</v>
      </c>
      <c r="J89" s="482">
        <v>13</v>
      </c>
      <c r="K89" s="482">
        <v>0</v>
      </c>
      <c r="L89" s="482">
        <v>11</v>
      </c>
      <c r="M89" s="482">
        <v>0</v>
      </c>
      <c r="N89" s="482">
        <v>0</v>
      </c>
      <c r="O89" s="482">
        <v>0</v>
      </c>
      <c r="P89" s="483">
        <v>2</v>
      </c>
      <c r="Q89" s="484">
        <v>22</v>
      </c>
      <c r="R89" s="492">
        <f t="shared" si="26"/>
        <v>35</v>
      </c>
      <c r="S89" s="494">
        <f t="shared" si="25"/>
        <v>50</v>
      </c>
      <c r="T89" s="474">
        <f t="shared" si="27"/>
        <v>0</v>
      </c>
    </row>
    <row r="90" spans="1:20" s="566" customFormat="1" ht="23.25" customHeight="1">
      <c r="A90" s="426">
        <v>12</v>
      </c>
      <c r="B90" s="430" t="s">
        <v>519</v>
      </c>
      <c r="C90" s="572">
        <f>C91+C92+C93</f>
        <v>348</v>
      </c>
      <c r="D90" s="572">
        <f aca="true" t="shared" si="29" ref="D90:Q90">D91+D92+D93</f>
        <v>156</v>
      </c>
      <c r="E90" s="572">
        <f t="shared" si="29"/>
        <v>192</v>
      </c>
      <c r="F90" s="572">
        <f t="shared" si="29"/>
        <v>4</v>
      </c>
      <c r="G90" s="572">
        <f t="shared" si="29"/>
        <v>0</v>
      </c>
      <c r="H90" s="572">
        <f t="shared" si="29"/>
        <v>344</v>
      </c>
      <c r="I90" s="572">
        <f t="shared" si="29"/>
        <v>237</v>
      </c>
      <c r="J90" s="572">
        <f t="shared" si="29"/>
        <v>164</v>
      </c>
      <c r="K90" s="572">
        <f t="shared" si="29"/>
        <v>8</v>
      </c>
      <c r="L90" s="572">
        <f t="shared" si="29"/>
        <v>65</v>
      </c>
      <c r="M90" s="572">
        <f t="shared" si="29"/>
        <v>0</v>
      </c>
      <c r="N90" s="572">
        <f t="shared" si="29"/>
        <v>0</v>
      </c>
      <c r="O90" s="572">
        <f t="shared" si="29"/>
        <v>0</v>
      </c>
      <c r="P90" s="572">
        <f t="shared" si="29"/>
        <v>0</v>
      </c>
      <c r="Q90" s="572">
        <f t="shared" si="29"/>
        <v>107</v>
      </c>
      <c r="R90" s="490">
        <f t="shared" si="26"/>
        <v>172</v>
      </c>
      <c r="S90" s="564">
        <f t="shared" si="25"/>
        <v>72.57383966244726</v>
      </c>
      <c r="T90" s="565">
        <f t="shared" si="27"/>
        <v>0</v>
      </c>
    </row>
    <row r="91" spans="1:20" s="475" customFormat="1" ht="23.25" customHeight="1">
      <c r="A91" s="458">
        <v>12.1</v>
      </c>
      <c r="B91" s="468" t="s">
        <v>542</v>
      </c>
      <c r="C91" s="508">
        <f>D91+E91</f>
        <v>148</v>
      </c>
      <c r="D91" s="508">
        <v>34</v>
      </c>
      <c r="E91" s="508">
        <v>114</v>
      </c>
      <c r="F91" s="508">
        <v>0</v>
      </c>
      <c r="G91" s="508">
        <v>0</v>
      </c>
      <c r="H91" s="508">
        <f>C91-F91-G91</f>
        <v>148</v>
      </c>
      <c r="I91" s="508">
        <f>H91-Q91</f>
        <v>122</v>
      </c>
      <c r="J91" s="508">
        <v>102</v>
      </c>
      <c r="K91" s="508">
        <v>1</v>
      </c>
      <c r="L91" s="508">
        <f>I91-J91-K91</f>
        <v>19</v>
      </c>
      <c r="M91" s="508"/>
      <c r="N91" s="508"/>
      <c r="O91" s="508"/>
      <c r="P91" s="508"/>
      <c r="Q91" s="508">
        <v>26</v>
      </c>
      <c r="R91" s="492">
        <f t="shared" si="26"/>
        <v>45</v>
      </c>
      <c r="S91" s="494">
        <f t="shared" si="25"/>
        <v>84.42622950819673</v>
      </c>
      <c r="T91" s="474">
        <f t="shared" si="27"/>
        <v>0</v>
      </c>
    </row>
    <row r="92" spans="1:20" s="475" customFormat="1" ht="23.25" customHeight="1">
      <c r="A92" s="458">
        <v>12.2</v>
      </c>
      <c r="B92" s="468" t="s">
        <v>576</v>
      </c>
      <c r="C92" s="508">
        <f>D92+E92</f>
        <v>145</v>
      </c>
      <c r="D92" s="508">
        <v>96</v>
      </c>
      <c r="E92" s="508">
        <v>49</v>
      </c>
      <c r="F92" s="508">
        <v>4</v>
      </c>
      <c r="G92" s="508">
        <v>0</v>
      </c>
      <c r="H92" s="508">
        <f>C92-F92-G92</f>
        <v>141</v>
      </c>
      <c r="I92" s="508">
        <f>H92-Q92</f>
        <v>82</v>
      </c>
      <c r="J92" s="508">
        <v>45</v>
      </c>
      <c r="K92" s="508">
        <v>7</v>
      </c>
      <c r="L92" s="508">
        <f>I92-J92-K92</f>
        <v>30</v>
      </c>
      <c r="M92" s="508">
        <v>0</v>
      </c>
      <c r="N92" s="508"/>
      <c r="O92" s="508"/>
      <c r="P92" s="508"/>
      <c r="Q92" s="508">
        <v>59</v>
      </c>
      <c r="R92" s="492">
        <f t="shared" si="26"/>
        <v>89</v>
      </c>
      <c r="S92" s="494">
        <f t="shared" si="25"/>
        <v>63.41463414634146</v>
      </c>
      <c r="T92" s="474">
        <f t="shared" si="27"/>
        <v>0</v>
      </c>
    </row>
    <row r="93" spans="1:20" s="475" customFormat="1" ht="23.25" customHeight="1">
      <c r="A93" s="458">
        <v>12.3</v>
      </c>
      <c r="B93" s="469" t="s">
        <v>577</v>
      </c>
      <c r="C93" s="508">
        <f>D93+E93</f>
        <v>55</v>
      </c>
      <c r="D93" s="508">
        <v>26</v>
      </c>
      <c r="E93" s="508">
        <v>29</v>
      </c>
      <c r="F93" s="508">
        <v>0</v>
      </c>
      <c r="G93" s="508">
        <v>0</v>
      </c>
      <c r="H93" s="508">
        <f>C93-F93-G93</f>
        <v>55</v>
      </c>
      <c r="I93" s="508">
        <f>H93-Q93</f>
        <v>33</v>
      </c>
      <c r="J93" s="508">
        <v>17</v>
      </c>
      <c r="K93" s="508">
        <v>0</v>
      </c>
      <c r="L93" s="508">
        <f>I93-J93-K93</f>
        <v>16</v>
      </c>
      <c r="M93" s="508"/>
      <c r="N93" s="508"/>
      <c r="O93" s="508"/>
      <c r="P93" s="508"/>
      <c r="Q93" s="508">
        <v>22</v>
      </c>
      <c r="R93" s="492">
        <f t="shared" si="26"/>
        <v>38</v>
      </c>
      <c r="S93" s="494">
        <f t="shared" si="25"/>
        <v>51.515151515151516</v>
      </c>
      <c r="T93" s="474">
        <f t="shared" si="27"/>
        <v>0</v>
      </c>
    </row>
    <row r="94" spans="1:20" s="573" customFormat="1" ht="23.25" customHeight="1">
      <c r="A94" s="449">
        <v>13</v>
      </c>
      <c r="B94" s="450" t="s">
        <v>521</v>
      </c>
      <c r="C94" s="490">
        <f>SUM(C95:C105)</f>
        <v>2537</v>
      </c>
      <c r="D94" s="490">
        <f aca="true" t="shared" si="30" ref="D94:Q94">SUM(D95:D105)</f>
        <v>1962</v>
      </c>
      <c r="E94" s="490">
        <f t="shared" si="30"/>
        <v>575</v>
      </c>
      <c r="F94" s="490">
        <f t="shared" si="30"/>
        <v>1</v>
      </c>
      <c r="G94" s="490">
        <f t="shared" si="30"/>
        <v>1</v>
      </c>
      <c r="H94" s="490">
        <f t="shared" si="30"/>
        <v>2536</v>
      </c>
      <c r="I94" s="490">
        <f t="shared" si="30"/>
        <v>1524</v>
      </c>
      <c r="J94" s="490">
        <f t="shared" si="30"/>
        <v>465</v>
      </c>
      <c r="K94" s="490">
        <f t="shared" si="30"/>
        <v>9</v>
      </c>
      <c r="L94" s="490">
        <f t="shared" si="30"/>
        <v>1048</v>
      </c>
      <c r="M94" s="490">
        <f t="shared" si="30"/>
        <v>0</v>
      </c>
      <c r="N94" s="490">
        <f t="shared" si="30"/>
        <v>2</v>
      </c>
      <c r="O94" s="490">
        <f t="shared" si="30"/>
        <v>0</v>
      </c>
      <c r="P94" s="490">
        <f t="shared" si="30"/>
        <v>0</v>
      </c>
      <c r="Q94" s="490">
        <f t="shared" si="30"/>
        <v>1012</v>
      </c>
      <c r="R94" s="490">
        <f t="shared" si="26"/>
        <v>2062</v>
      </c>
      <c r="S94" s="564">
        <f t="shared" si="25"/>
        <v>31.10236220472441</v>
      </c>
      <c r="T94" s="565">
        <f t="shared" si="27"/>
        <v>0</v>
      </c>
    </row>
    <row r="95" spans="1:20" s="475" customFormat="1" ht="23.25" customHeight="1">
      <c r="A95" s="458">
        <v>13.1</v>
      </c>
      <c r="B95" s="470" t="s">
        <v>522</v>
      </c>
      <c r="C95" s="499">
        <f>D95+E95</f>
        <v>132</v>
      </c>
      <c r="D95" s="499">
        <v>23</v>
      </c>
      <c r="E95" s="499">
        <v>109</v>
      </c>
      <c r="F95" s="499">
        <v>0</v>
      </c>
      <c r="G95" s="499">
        <v>0</v>
      </c>
      <c r="H95" s="499">
        <f>I95+Q95</f>
        <v>132</v>
      </c>
      <c r="I95" s="499">
        <f>J95+K95+L95+M95+N95+O95+P95</f>
        <v>131</v>
      </c>
      <c r="J95" s="499">
        <v>89</v>
      </c>
      <c r="K95" s="499">
        <v>0</v>
      </c>
      <c r="L95" s="499">
        <v>42</v>
      </c>
      <c r="M95" s="499">
        <v>0</v>
      </c>
      <c r="N95" s="499">
        <v>0</v>
      </c>
      <c r="O95" s="499">
        <v>0</v>
      </c>
      <c r="P95" s="499">
        <v>0</v>
      </c>
      <c r="Q95" s="501">
        <v>1</v>
      </c>
      <c r="R95" s="492">
        <f t="shared" si="26"/>
        <v>43</v>
      </c>
      <c r="S95" s="494">
        <f t="shared" si="25"/>
        <v>67.93893129770993</v>
      </c>
      <c r="T95" s="474">
        <f t="shared" si="27"/>
        <v>0</v>
      </c>
    </row>
    <row r="96" spans="1:20" s="475" customFormat="1" ht="23.25" customHeight="1">
      <c r="A96" s="458">
        <v>13.2</v>
      </c>
      <c r="B96" s="470" t="s">
        <v>523</v>
      </c>
      <c r="C96" s="499">
        <f aca="true" t="shared" si="31" ref="C96:C105">D96+E96</f>
        <v>234</v>
      </c>
      <c r="D96" s="499">
        <v>203</v>
      </c>
      <c r="E96" s="499">
        <v>31</v>
      </c>
      <c r="F96" s="499">
        <v>0</v>
      </c>
      <c r="G96" s="499">
        <v>0</v>
      </c>
      <c r="H96" s="499">
        <f aca="true" t="shared" si="32" ref="H96:H105">I96+Q96</f>
        <v>234</v>
      </c>
      <c r="I96" s="499">
        <f aca="true" t="shared" si="33" ref="I96:I105">J96+K96+L96+M96+N96+O96+P96</f>
        <v>143</v>
      </c>
      <c r="J96" s="499">
        <v>26</v>
      </c>
      <c r="K96" s="499">
        <v>1</v>
      </c>
      <c r="L96" s="499">
        <v>116</v>
      </c>
      <c r="M96" s="499">
        <v>0</v>
      </c>
      <c r="N96" s="499">
        <v>0</v>
      </c>
      <c r="O96" s="499">
        <v>0</v>
      </c>
      <c r="P96" s="499">
        <v>0</v>
      </c>
      <c r="Q96" s="501">
        <v>91</v>
      </c>
      <c r="R96" s="492">
        <f t="shared" si="26"/>
        <v>207</v>
      </c>
      <c r="S96" s="494">
        <f t="shared" si="25"/>
        <v>18.88111888111888</v>
      </c>
      <c r="T96" s="474">
        <f t="shared" si="27"/>
        <v>0</v>
      </c>
    </row>
    <row r="97" spans="1:20" s="475" customFormat="1" ht="23.25" customHeight="1">
      <c r="A97" s="458">
        <v>13.3</v>
      </c>
      <c r="B97" s="470" t="s">
        <v>550</v>
      </c>
      <c r="C97" s="499">
        <f t="shared" si="31"/>
        <v>382</v>
      </c>
      <c r="D97" s="499">
        <v>287</v>
      </c>
      <c r="E97" s="499">
        <v>95</v>
      </c>
      <c r="F97" s="499">
        <v>0</v>
      </c>
      <c r="G97" s="499">
        <v>0</v>
      </c>
      <c r="H97" s="499">
        <f t="shared" si="32"/>
        <v>382</v>
      </c>
      <c r="I97" s="499">
        <f t="shared" si="33"/>
        <v>187</v>
      </c>
      <c r="J97" s="499">
        <v>66</v>
      </c>
      <c r="K97" s="499">
        <v>1</v>
      </c>
      <c r="L97" s="499">
        <v>120</v>
      </c>
      <c r="M97" s="499">
        <v>0</v>
      </c>
      <c r="N97" s="499">
        <v>0</v>
      </c>
      <c r="O97" s="499">
        <v>0</v>
      </c>
      <c r="P97" s="499">
        <v>0</v>
      </c>
      <c r="Q97" s="501">
        <v>195</v>
      </c>
      <c r="R97" s="492">
        <f t="shared" si="26"/>
        <v>315</v>
      </c>
      <c r="S97" s="494">
        <f t="shared" si="25"/>
        <v>35.82887700534759</v>
      </c>
      <c r="T97" s="474">
        <f t="shared" si="27"/>
        <v>0</v>
      </c>
    </row>
    <row r="98" spans="1:20" s="475" customFormat="1" ht="23.25" customHeight="1">
      <c r="A98" s="458">
        <v>13.4</v>
      </c>
      <c r="B98" s="471" t="s">
        <v>551</v>
      </c>
      <c r="C98" s="499">
        <f t="shared" si="31"/>
        <v>325</v>
      </c>
      <c r="D98" s="499">
        <v>275</v>
      </c>
      <c r="E98" s="499">
        <v>50</v>
      </c>
      <c r="F98" s="499">
        <v>0</v>
      </c>
      <c r="G98" s="499">
        <v>0</v>
      </c>
      <c r="H98" s="499">
        <f>I98+Q98</f>
        <v>325</v>
      </c>
      <c r="I98" s="499">
        <f t="shared" si="33"/>
        <v>191</v>
      </c>
      <c r="J98" s="499">
        <v>48</v>
      </c>
      <c r="K98" s="499">
        <v>0</v>
      </c>
      <c r="L98" s="499">
        <v>143</v>
      </c>
      <c r="M98" s="499">
        <v>0</v>
      </c>
      <c r="N98" s="499">
        <v>0</v>
      </c>
      <c r="O98" s="499">
        <v>0</v>
      </c>
      <c r="P98" s="499">
        <v>0</v>
      </c>
      <c r="Q98" s="501">
        <v>134</v>
      </c>
      <c r="R98" s="492">
        <f t="shared" si="26"/>
        <v>277</v>
      </c>
      <c r="S98" s="494">
        <f t="shared" si="25"/>
        <v>25.13089005235602</v>
      </c>
      <c r="T98" s="474">
        <f t="shared" si="27"/>
        <v>0</v>
      </c>
    </row>
    <row r="99" spans="1:20" s="475" customFormat="1" ht="23.25" customHeight="1">
      <c r="A99" s="458">
        <v>13.5</v>
      </c>
      <c r="B99" s="472" t="s">
        <v>552</v>
      </c>
      <c r="C99" s="499">
        <f t="shared" si="31"/>
        <v>169</v>
      </c>
      <c r="D99" s="499">
        <v>133</v>
      </c>
      <c r="E99" s="499">
        <v>36</v>
      </c>
      <c r="F99" s="499">
        <v>0</v>
      </c>
      <c r="G99" s="499">
        <v>1</v>
      </c>
      <c r="H99" s="499">
        <f t="shared" si="32"/>
        <v>169</v>
      </c>
      <c r="I99" s="499">
        <f t="shared" si="33"/>
        <v>94</v>
      </c>
      <c r="J99" s="499">
        <v>33</v>
      </c>
      <c r="K99" s="499">
        <v>0</v>
      </c>
      <c r="L99" s="499">
        <v>59</v>
      </c>
      <c r="M99" s="499">
        <v>0</v>
      </c>
      <c r="N99" s="499">
        <v>2</v>
      </c>
      <c r="O99" s="499">
        <v>0</v>
      </c>
      <c r="P99" s="499">
        <v>0</v>
      </c>
      <c r="Q99" s="501">
        <v>75</v>
      </c>
      <c r="R99" s="492">
        <f t="shared" si="26"/>
        <v>136</v>
      </c>
      <c r="S99" s="494">
        <f t="shared" si="25"/>
        <v>35.1063829787234</v>
      </c>
      <c r="T99" s="474">
        <f t="shared" si="27"/>
        <v>0</v>
      </c>
    </row>
    <row r="100" spans="1:20" s="475" customFormat="1" ht="23.25" customHeight="1">
      <c r="A100" s="458">
        <v>13.6</v>
      </c>
      <c r="B100" s="472" t="s">
        <v>553</v>
      </c>
      <c r="C100" s="499">
        <f t="shared" si="31"/>
        <v>261</v>
      </c>
      <c r="D100" s="499">
        <v>219</v>
      </c>
      <c r="E100" s="499">
        <v>42</v>
      </c>
      <c r="F100" s="499">
        <v>0</v>
      </c>
      <c r="G100" s="499">
        <v>0</v>
      </c>
      <c r="H100" s="499">
        <f t="shared" si="32"/>
        <v>261</v>
      </c>
      <c r="I100" s="499">
        <f t="shared" si="33"/>
        <v>144</v>
      </c>
      <c r="J100" s="499">
        <v>33</v>
      </c>
      <c r="K100" s="499">
        <v>3</v>
      </c>
      <c r="L100" s="499">
        <v>108</v>
      </c>
      <c r="M100" s="499">
        <v>0</v>
      </c>
      <c r="N100" s="499">
        <v>0</v>
      </c>
      <c r="O100" s="499">
        <v>0</v>
      </c>
      <c r="P100" s="499">
        <v>0</v>
      </c>
      <c r="Q100" s="501">
        <v>117</v>
      </c>
      <c r="R100" s="492">
        <f t="shared" si="26"/>
        <v>225</v>
      </c>
      <c r="S100" s="494">
        <f t="shared" si="25"/>
        <v>25</v>
      </c>
      <c r="T100" s="474">
        <f t="shared" si="27"/>
        <v>0</v>
      </c>
    </row>
    <row r="101" spans="1:20" s="475" customFormat="1" ht="23.25" customHeight="1">
      <c r="A101" s="458">
        <v>13.7</v>
      </c>
      <c r="B101" s="472" t="s">
        <v>554</v>
      </c>
      <c r="C101" s="499">
        <f t="shared" si="31"/>
        <v>241</v>
      </c>
      <c r="D101" s="499">
        <v>192</v>
      </c>
      <c r="E101" s="499">
        <v>49</v>
      </c>
      <c r="F101" s="499">
        <v>0</v>
      </c>
      <c r="G101" s="499">
        <v>0</v>
      </c>
      <c r="H101" s="499">
        <f t="shared" si="32"/>
        <v>241</v>
      </c>
      <c r="I101" s="499">
        <f>J101+K101+L101+M101+N101+O101+P101</f>
        <v>132</v>
      </c>
      <c r="J101" s="499">
        <v>46</v>
      </c>
      <c r="K101" s="499">
        <v>0</v>
      </c>
      <c r="L101" s="499">
        <v>86</v>
      </c>
      <c r="M101" s="499">
        <v>0</v>
      </c>
      <c r="N101" s="499">
        <v>0</v>
      </c>
      <c r="O101" s="499">
        <v>0</v>
      </c>
      <c r="P101" s="499">
        <v>0</v>
      </c>
      <c r="Q101" s="501">
        <v>109</v>
      </c>
      <c r="R101" s="492">
        <f t="shared" si="26"/>
        <v>195</v>
      </c>
      <c r="S101" s="494">
        <f t="shared" si="25"/>
        <v>34.84848484848485</v>
      </c>
      <c r="T101" s="474">
        <f t="shared" si="27"/>
        <v>0</v>
      </c>
    </row>
    <row r="102" spans="1:20" s="475" customFormat="1" ht="23.25" customHeight="1">
      <c r="A102" s="458">
        <v>13.8</v>
      </c>
      <c r="B102" s="470" t="s">
        <v>555</v>
      </c>
      <c r="C102" s="499">
        <f t="shared" si="31"/>
        <v>222</v>
      </c>
      <c r="D102" s="499">
        <v>164</v>
      </c>
      <c r="E102" s="499">
        <v>58</v>
      </c>
      <c r="F102" s="499">
        <v>0</v>
      </c>
      <c r="G102" s="499">
        <v>0</v>
      </c>
      <c r="H102" s="499">
        <f t="shared" si="32"/>
        <v>222</v>
      </c>
      <c r="I102" s="499">
        <f t="shared" si="33"/>
        <v>141</v>
      </c>
      <c r="J102" s="499">
        <v>47</v>
      </c>
      <c r="K102" s="499">
        <v>0</v>
      </c>
      <c r="L102" s="499">
        <v>94</v>
      </c>
      <c r="M102" s="499">
        <v>0</v>
      </c>
      <c r="N102" s="499">
        <v>0</v>
      </c>
      <c r="O102" s="499">
        <v>0</v>
      </c>
      <c r="P102" s="499">
        <v>0</v>
      </c>
      <c r="Q102" s="501">
        <v>81</v>
      </c>
      <c r="R102" s="492">
        <f t="shared" si="26"/>
        <v>175</v>
      </c>
      <c r="S102" s="494">
        <f t="shared" si="25"/>
        <v>33.33333333333333</v>
      </c>
      <c r="T102" s="474">
        <f t="shared" si="27"/>
        <v>0</v>
      </c>
    </row>
    <row r="103" spans="1:20" s="475" customFormat="1" ht="23.25" customHeight="1">
      <c r="A103" s="458">
        <v>13.9</v>
      </c>
      <c r="B103" s="470" t="s">
        <v>556</v>
      </c>
      <c r="C103" s="499">
        <f t="shared" si="31"/>
        <v>196</v>
      </c>
      <c r="D103" s="499">
        <v>151</v>
      </c>
      <c r="E103" s="499">
        <v>45</v>
      </c>
      <c r="F103" s="499">
        <v>1</v>
      </c>
      <c r="G103" s="499">
        <v>0</v>
      </c>
      <c r="H103" s="499">
        <f t="shared" si="32"/>
        <v>195</v>
      </c>
      <c r="I103" s="499">
        <f t="shared" si="33"/>
        <v>114</v>
      </c>
      <c r="J103" s="499">
        <v>32</v>
      </c>
      <c r="K103" s="499">
        <v>1</v>
      </c>
      <c r="L103" s="499">
        <v>81</v>
      </c>
      <c r="M103" s="499">
        <v>0</v>
      </c>
      <c r="N103" s="499">
        <v>0</v>
      </c>
      <c r="O103" s="499">
        <v>0</v>
      </c>
      <c r="P103" s="499">
        <v>0</v>
      </c>
      <c r="Q103" s="501">
        <v>81</v>
      </c>
      <c r="R103" s="492">
        <f t="shared" si="26"/>
        <v>162</v>
      </c>
      <c r="S103" s="494">
        <f t="shared" si="25"/>
        <v>28.947368421052634</v>
      </c>
      <c r="T103" s="474">
        <f t="shared" si="27"/>
        <v>0</v>
      </c>
    </row>
    <row r="104" spans="1:20" s="475" customFormat="1" ht="23.25" customHeight="1">
      <c r="A104" s="458" t="s">
        <v>557</v>
      </c>
      <c r="B104" s="470" t="s">
        <v>558</v>
      </c>
      <c r="C104" s="499">
        <f t="shared" si="31"/>
        <v>249</v>
      </c>
      <c r="D104" s="499">
        <v>211</v>
      </c>
      <c r="E104" s="499">
        <v>38</v>
      </c>
      <c r="F104" s="499">
        <v>0</v>
      </c>
      <c r="G104" s="499">
        <v>0</v>
      </c>
      <c r="H104" s="499">
        <f t="shared" si="32"/>
        <v>249</v>
      </c>
      <c r="I104" s="499">
        <f t="shared" si="33"/>
        <v>165</v>
      </c>
      <c r="J104" s="499">
        <v>27</v>
      </c>
      <c r="K104" s="499">
        <v>0</v>
      </c>
      <c r="L104" s="499">
        <v>138</v>
      </c>
      <c r="M104" s="499">
        <v>0</v>
      </c>
      <c r="N104" s="499">
        <v>0</v>
      </c>
      <c r="O104" s="499">
        <v>0</v>
      </c>
      <c r="P104" s="499">
        <v>0</v>
      </c>
      <c r="Q104" s="501">
        <v>84</v>
      </c>
      <c r="R104" s="492">
        <f t="shared" si="26"/>
        <v>222</v>
      </c>
      <c r="S104" s="494">
        <f t="shared" si="25"/>
        <v>16.363636363636363</v>
      </c>
      <c r="T104" s="474">
        <f t="shared" si="27"/>
        <v>0</v>
      </c>
    </row>
    <row r="105" spans="1:20" s="475" customFormat="1" ht="23.25" customHeight="1">
      <c r="A105" s="458" t="s">
        <v>559</v>
      </c>
      <c r="B105" s="470" t="s">
        <v>463</v>
      </c>
      <c r="C105" s="499">
        <f t="shared" si="31"/>
        <v>126</v>
      </c>
      <c r="D105" s="499">
        <v>104</v>
      </c>
      <c r="E105" s="499">
        <v>22</v>
      </c>
      <c r="F105" s="499">
        <v>0</v>
      </c>
      <c r="G105" s="499">
        <v>0</v>
      </c>
      <c r="H105" s="499">
        <f t="shared" si="32"/>
        <v>126</v>
      </c>
      <c r="I105" s="499">
        <f t="shared" si="33"/>
        <v>82</v>
      </c>
      <c r="J105" s="499">
        <v>18</v>
      </c>
      <c r="K105" s="499">
        <v>3</v>
      </c>
      <c r="L105" s="499">
        <v>61</v>
      </c>
      <c r="M105" s="499">
        <v>0</v>
      </c>
      <c r="N105" s="499">
        <v>0</v>
      </c>
      <c r="O105" s="499">
        <v>0</v>
      </c>
      <c r="P105" s="499">
        <v>0</v>
      </c>
      <c r="Q105" s="501">
        <v>44</v>
      </c>
      <c r="R105" s="492">
        <f t="shared" si="26"/>
        <v>105</v>
      </c>
      <c r="S105" s="494">
        <f t="shared" si="25"/>
        <v>25.609756097560975</v>
      </c>
      <c r="T105" s="474">
        <f t="shared" si="27"/>
        <v>0</v>
      </c>
    </row>
    <row r="106" spans="1:20" s="573" customFormat="1" ht="23.25" customHeight="1">
      <c r="A106" s="449">
        <v>14</v>
      </c>
      <c r="B106" s="450" t="s">
        <v>524</v>
      </c>
      <c r="C106" s="572">
        <f>C107+C108</f>
        <v>442</v>
      </c>
      <c r="D106" s="572">
        <f aca="true" t="shared" si="34" ref="D106:Q106">D107+D108</f>
        <v>164</v>
      </c>
      <c r="E106" s="572">
        <f t="shared" si="34"/>
        <v>278</v>
      </c>
      <c r="F106" s="572">
        <f t="shared" si="34"/>
        <v>6</v>
      </c>
      <c r="G106" s="572">
        <f t="shared" si="34"/>
        <v>0</v>
      </c>
      <c r="H106" s="572">
        <f t="shared" si="34"/>
        <v>436</v>
      </c>
      <c r="I106" s="572">
        <f t="shared" si="34"/>
        <v>335</v>
      </c>
      <c r="J106" s="572">
        <f t="shared" si="34"/>
        <v>199</v>
      </c>
      <c r="K106" s="572">
        <f t="shared" si="34"/>
        <v>1</v>
      </c>
      <c r="L106" s="572">
        <f t="shared" si="34"/>
        <v>135</v>
      </c>
      <c r="M106" s="572">
        <f t="shared" si="34"/>
        <v>0</v>
      </c>
      <c r="N106" s="572">
        <f t="shared" si="34"/>
        <v>0</v>
      </c>
      <c r="O106" s="572">
        <f t="shared" si="34"/>
        <v>0</v>
      </c>
      <c r="P106" s="572">
        <f t="shared" si="34"/>
        <v>0</v>
      </c>
      <c r="Q106" s="572">
        <f t="shared" si="34"/>
        <v>101</v>
      </c>
      <c r="R106" s="490">
        <f t="shared" si="26"/>
        <v>236</v>
      </c>
      <c r="S106" s="564">
        <f t="shared" si="25"/>
        <v>59.70149253731343</v>
      </c>
      <c r="T106" s="565">
        <f t="shared" si="27"/>
        <v>0</v>
      </c>
    </row>
    <row r="107" spans="1:20" s="475" customFormat="1" ht="23.25" customHeight="1">
      <c r="A107" s="463" t="s">
        <v>525</v>
      </c>
      <c r="B107" s="462" t="s">
        <v>526</v>
      </c>
      <c r="C107" s="476">
        <f>D107+E107</f>
        <v>158</v>
      </c>
      <c r="D107" s="486" t="s">
        <v>578</v>
      </c>
      <c r="E107" s="486" t="s">
        <v>585</v>
      </c>
      <c r="F107" s="486" t="s">
        <v>47</v>
      </c>
      <c r="G107" s="486" t="s">
        <v>434</v>
      </c>
      <c r="H107" s="487">
        <f>I107+Q107</f>
        <v>155</v>
      </c>
      <c r="I107" s="487">
        <f>P107+O107+N107+M107+L107+K107+J107</f>
        <v>108</v>
      </c>
      <c r="J107" s="486" t="s">
        <v>586</v>
      </c>
      <c r="K107" s="486" t="s">
        <v>43</v>
      </c>
      <c r="L107" s="486" t="s">
        <v>587</v>
      </c>
      <c r="M107" s="486" t="s">
        <v>434</v>
      </c>
      <c r="N107" s="486" t="s">
        <v>434</v>
      </c>
      <c r="O107" s="488" t="s">
        <v>434</v>
      </c>
      <c r="P107" s="489" t="s">
        <v>434</v>
      </c>
      <c r="Q107" s="477">
        <v>47</v>
      </c>
      <c r="R107" s="429">
        <f t="shared" si="26"/>
        <v>47</v>
      </c>
      <c r="S107" s="473">
        <f t="shared" si="25"/>
        <v>58.333333333333336</v>
      </c>
      <c r="T107" s="474">
        <f t="shared" si="27"/>
        <v>0</v>
      </c>
    </row>
    <row r="108" spans="1:20" s="475" customFormat="1" ht="23.25" customHeight="1">
      <c r="A108" s="463" t="s">
        <v>527</v>
      </c>
      <c r="B108" s="462" t="s">
        <v>528</v>
      </c>
      <c r="C108" s="476">
        <f>D108+E108</f>
        <v>284</v>
      </c>
      <c r="D108" s="486" t="s">
        <v>579</v>
      </c>
      <c r="E108" s="486" t="s">
        <v>588</v>
      </c>
      <c r="F108" s="486" t="s">
        <v>47</v>
      </c>
      <c r="G108" s="486" t="s">
        <v>434</v>
      </c>
      <c r="H108" s="487">
        <f>I108+Q108</f>
        <v>281</v>
      </c>
      <c r="I108" s="487">
        <f>P108+O108+N108+M108+L108+K108+J108</f>
        <v>227</v>
      </c>
      <c r="J108" s="486" t="s">
        <v>589</v>
      </c>
      <c r="K108" s="486" t="s">
        <v>434</v>
      </c>
      <c r="L108" s="486" t="s">
        <v>590</v>
      </c>
      <c r="M108" s="486" t="s">
        <v>434</v>
      </c>
      <c r="N108" s="486" t="s">
        <v>434</v>
      </c>
      <c r="O108" s="488" t="s">
        <v>434</v>
      </c>
      <c r="P108" s="489" t="s">
        <v>434</v>
      </c>
      <c r="Q108" s="477">
        <v>54</v>
      </c>
      <c r="R108" s="429">
        <f t="shared" si="26"/>
        <v>54</v>
      </c>
      <c r="S108" s="473">
        <f t="shared" si="25"/>
        <v>60.352422907488986</v>
      </c>
      <c r="T108" s="474">
        <f t="shared" si="27"/>
        <v>0</v>
      </c>
    </row>
    <row r="109" spans="1:20" s="573" customFormat="1" ht="23.25" customHeight="1">
      <c r="A109" s="449">
        <v>15</v>
      </c>
      <c r="B109" s="450" t="s">
        <v>529</v>
      </c>
      <c r="C109" s="490">
        <f>C110+C111+C112+C113</f>
        <v>237</v>
      </c>
      <c r="D109" s="490">
        <f>D110+D111+D112+D113</f>
        <v>150</v>
      </c>
      <c r="E109" s="490">
        <f aca="true" t="shared" si="35" ref="E109:Q109">E110+E111+E112+E113</f>
        <v>87</v>
      </c>
      <c r="F109" s="490">
        <f t="shared" si="35"/>
        <v>1</v>
      </c>
      <c r="G109" s="490">
        <f t="shared" si="35"/>
        <v>0</v>
      </c>
      <c r="H109" s="490">
        <f t="shared" si="35"/>
        <v>236</v>
      </c>
      <c r="I109" s="490">
        <f t="shared" si="35"/>
        <v>145</v>
      </c>
      <c r="J109" s="490">
        <f t="shared" si="35"/>
        <v>62</v>
      </c>
      <c r="K109" s="490">
        <f t="shared" si="35"/>
        <v>0</v>
      </c>
      <c r="L109" s="490">
        <f t="shared" si="35"/>
        <v>80</v>
      </c>
      <c r="M109" s="490">
        <f t="shared" si="35"/>
        <v>2</v>
      </c>
      <c r="N109" s="490">
        <f t="shared" si="35"/>
        <v>0</v>
      </c>
      <c r="O109" s="490">
        <f t="shared" si="35"/>
        <v>0</v>
      </c>
      <c r="P109" s="490">
        <f t="shared" si="35"/>
        <v>1</v>
      </c>
      <c r="Q109" s="490">
        <f t="shared" si="35"/>
        <v>91</v>
      </c>
      <c r="R109" s="490">
        <f t="shared" si="26"/>
        <v>174</v>
      </c>
      <c r="S109" s="564">
        <f t="shared" si="25"/>
        <v>42.758620689655174</v>
      </c>
      <c r="T109" s="565">
        <f t="shared" si="27"/>
        <v>0</v>
      </c>
    </row>
    <row r="110" spans="1:20" s="475" customFormat="1" ht="23.25" customHeight="1">
      <c r="A110" s="457">
        <v>15.1</v>
      </c>
      <c r="B110" s="464" t="s">
        <v>530</v>
      </c>
      <c r="C110" s="492">
        <f>D110+E110</f>
        <v>35</v>
      </c>
      <c r="D110" s="492">
        <v>15</v>
      </c>
      <c r="E110" s="492">
        <v>20</v>
      </c>
      <c r="F110" s="492">
        <v>0</v>
      </c>
      <c r="G110" s="492">
        <v>0</v>
      </c>
      <c r="H110" s="492">
        <f>I110+Q110</f>
        <v>35</v>
      </c>
      <c r="I110" s="492">
        <f>J110+K110+L110+M110+N110+O110+P110</f>
        <v>33</v>
      </c>
      <c r="J110" s="492">
        <v>18</v>
      </c>
      <c r="K110" s="492">
        <v>0</v>
      </c>
      <c r="L110" s="492">
        <f>C110-F110-J110-K110-M110-N110-O110-P110-Q110</f>
        <v>15</v>
      </c>
      <c r="M110" s="492">
        <v>0</v>
      </c>
      <c r="N110" s="492">
        <v>0</v>
      </c>
      <c r="O110" s="492">
        <v>0</v>
      </c>
      <c r="P110" s="492">
        <v>0</v>
      </c>
      <c r="Q110" s="497">
        <v>2</v>
      </c>
      <c r="R110" s="492">
        <f t="shared" si="26"/>
        <v>17</v>
      </c>
      <c r="S110" s="494">
        <f t="shared" si="25"/>
        <v>54.54545454545454</v>
      </c>
      <c r="T110" s="474">
        <f t="shared" si="27"/>
        <v>0</v>
      </c>
    </row>
    <row r="111" spans="1:20" s="475" customFormat="1" ht="23.25" customHeight="1">
      <c r="A111" s="457">
        <v>15.2</v>
      </c>
      <c r="B111" s="464" t="s">
        <v>560</v>
      </c>
      <c r="C111" s="492">
        <f>D111+E111</f>
        <v>80</v>
      </c>
      <c r="D111" s="492">
        <v>58</v>
      </c>
      <c r="E111" s="492">
        <v>22</v>
      </c>
      <c r="F111" s="492">
        <v>0</v>
      </c>
      <c r="G111" s="492">
        <v>0</v>
      </c>
      <c r="H111" s="492">
        <f>I111+Q111</f>
        <v>80</v>
      </c>
      <c r="I111" s="492">
        <f>J111+K111+L111+M111+N111+O111+P111</f>
        <v>41</v>
      </c>
      <c r="J111" s="492">
        <v>15</v>
      </c>
      <c r="K111" s="492">
        <v>0</v>
      </c>
      <c r="L111" s="492">
        <f>C111-F111-J111-K111-M111-N111-O111-P111-Q111</f>
        <v>26</v>
      </c>
      <c r="M111" s="492">
        <v>0</v>
      </c>
      <c r="N111" s="492">
        <v>0</v>
      </c>
      <c r="O111" s="492" t="s">
        <v>434</v>
      </c>
      <c r="P111" s="492" t="s">
        <v>434</v>
      </c>
      <c r="Q111" s="497">
        <v>39</v>
      </c>
      <c r="R111" s="492">
        <f t="shared" si="26"/>
        <v>65</v>
      </c>
      <c r="S111" s="494">
        <f t="shared" si="25"/>
        <v>36.58536585365854</v>
      </c>
      <c r="T111" s="474">
        <f t="shared" si="27"/>
        <v>0</v>
      </c>
    </row>
    <row r="112" spans="1:20" s="475" customFormat="1" ht="23.25" customHeight="1">
      <c r="A112" s="457">
        <v>15.3</v>
      </c>
      <c r="B112" s="464" t="s">
        <v>562</v>
      </c>
      <c r="C112" s="492">
        <f>D112+E112</f>
        <v>56</v>
      </c>
      <c r="D112" s="492">
        <v>38</v>
      </c>
      <c r="E112" s="492">
        <f>18</f>
        <v>18</v>
      </c>
      <c r="F112" s="492">
        <f>1</f>
        <v>1</v>
      </c>
      <c r="G112" s="492">
        <v>0</v>
      </c>
      <c r="H112" s="492">
        <f>I112+Q112</f>
        <v>55</v>
      </c>
      <c r="I112" s="492">
        <f>J112+K112+L112+M112+N112+O112+P112</f>
        <v>29</v>
      </c>
      <c r="J112" s="492">
        <v>9</v>
      </c>
      <c r="K112" s="492">
        <v>0</v>
      </c>
      <c r="L112" s="492">
        <f>C112-F112-J112-K112-M112-N112-O112-P112-Q112</f>
        <v>17</v>
      </c>
      <c r="M112" s="492">
        <v>2</v>
      </c>
      <c r="N112" s="492">
        <v>0</v>
      </c>
      <c r="O112" s="492">
        <v>0</v>
      </c>
      <c r="P112" s="492">
        <v>1</v>
      </c>
      <c r="Q112" s="497">
        <v>26</v>
      </c>
      <c r="R112" s="492">
        <f t="shared" si="26"/>
        <v>46</v>
      </c>
      <c r="S112" s="494">
        <f t="shared" si="25"/>
        <v>31.03448275862069</v>
      </c>
      <c r="T112" s="474">
        <f t="shared" si="27"/>
        <v>0</v>
      </c>
    </row>
    <row r="113" spans="1:20" s="485" customFormat="1" ht="23.25" customHeight="1">
      <c r="A113" s="457">
        <v>15.4</v>
      </c>
      <c r="B113" s="464" t="s">
        <v>561</v>
      </c>
      <c r="C113" s="492">
        <f>D113+E113</f>
        <v>66</v>
      </c>
      <c r="D113" s="492">
        <v>39</v>
      </c>
      <c r="E113" s="492">
        <v>27</v>
      </c>
      <c r="F113" s="492">
        <v>0</v>
      </c>
      <c r="G113" s="492">
        <v>0</v>
      </c>
      <c r="H113" s="492">
        <f>I113+Q113</f>
        <v>66</v>
      </c>
      <c r="I113" s="492">
        <f>J113+K113+L113+M113+N113+O113+P113</f>
        <v>42</v>
      </c>
      <c r="J113" s="492">
        <v>20</v>
      </c>
      <c r="K113" s="492">
        <v>0</v>
      </c>
      <c r="L113" s="492">
        <f>C113-F113-J113-K113-M113-N113-O113-P113-Q113</f>
        <v>22</v>
      </c>
      <c r="M113" s="492">
        <v>0</v>
      </c>
      <c r="N113" s="492">
        <v>0</v>
      </c>
      <c r="O113" s="492" t="s">
        <v>434</v>
      </c>
      <c r="P113" s="492" t="s">
        <v>434</v>
      </c>
      <c r="Q113" s="497">
        <v>24</v>
      </c>
      <c r="R113" s="492">
        <f t="shared" si="26"/>
        <v>46</v>
      </c>
      <c r="S113" s="494">
        <f t="shared" si="25"/>
        <v>47.61904761904761</v>
      </c>
      <c r="T113" s="474">
        <f t="shared" si="27"/>
        <v>0</v>
      </c>
    </row>
    <row r="114" spans="1:19" ht="18.75">
      <c r="A114" s="383"/>
      <c r="B114" s="898" t="s">
        <v>420</v>
      </c>
      <c r="C114" s="898"/>
      <c r="D114" s="418"/>
      <c r="E114" s="418"/>
      <c r="F114" s="419"/>
      <c r="G114" s="419"/>
      <c r="H114" s="420"/>
      <c r="I114" s="420"/>
      <c r="J114" s="419"/>
      <c r="K114" s="419"/>
      <c r="L114" s="419"/>
      <c r="M114" s="419"/>
      <c r="N114" s="893" t="s">
        <v>592</v>
      </c>
      <c r="O114" s="893"/>
      <c r="P114" s="893"/>
      <c r="Q114" s="893"/>
      <c r="R114" s="893"/>
      <c r="S114" s="893"/>
    </row>
    <row r="115" spans="1:19" ht="25.5" customHeight="1">
      <c r="A115" s="389"/>
      <c r="B115" s="383"/>
      <c r="C115" s="421"/>
      <c r="D115" s="419"/>
      <c r="E115" s="419"/>
      <c r="F115" s="419"/>
      <c r="G115" s="419"/>
      <c r="H115" s="420"/>
      <c r="I115" s="420"/>
      <c r="J115" s="419"/>
      <c r="K115" s="419"/>
      <c r="L115" s="419"/>
      <c r="M115" s="419"/>
      <c r="N115" s="913" t="s">
        <v>563</v>
      </c>
      <c r="O115" s="913"/>
      <c r="P115" s="913"/>
      <c r="Q115" s="913"/>
      <c r="R115" s="913"/>
      <c r="S115" s="913"/>
    </row>
    <row r="116" spans="1:19" ht="15.75" customHeight="1">
      <c r="A116" s="383"/>
      <c r="B116" s="912"/>
      <c r="C116" s="912"/>
      <c r="D116" s="912"/>
      <c r="E116" s="912"/>
      <c r="F116" s="912"/>
      <c r="G116" s="912"/>
      <c r="H116" s="912"/>
      <c r="I116" s="912"/>
      <c r="J116" s="912"/>
      <c r="K116" s="912"/>
      <c r="L116" s="912"/>
      <c r="M116" s="912"/>
      <c r="N116" s="912"/>
      <c r="O116" s="912"/>
      <c r="P116" s="419"/>
      <c r="Q116" s="420"/>
      <c r="R116" s="421"/>
      <c r="S116" s="422"/>
    </row>
    <row r="117" spans="1:19" ht="18.75">
      <c r="A117" s="390"/>
      <c r="B117" s="390"/>
      <c r="C117" s="423"/>
      <c r="D117" s="424"/>
      <c r="E117" s="424"/>
      <c r="F117" s="424"/>
      <c r="G117" s="424"/>
      <c r="H117" s="423"/>
      <c r="I117" s="423"/>
      <c r="J117" s="424"/>
      <c r="K117" s="424"/>
      <c r="L117" s="424"/>
      <c r="M117" s="424"/>
      <c r="N117" s="424"/>
      <c r="O117" s="424"/>
      <c r="P117" s="424"/>
      <c r="Q117" s="421"/>
      <c r="R117" s="421"/>
      <c r="S117" s="422"/>
    </row>
    <row r="118" spans="1:19" ht="18.75">
      <c r="A118" s="383"/>
      <c r="B118" s="383"/>
      <c r="C118" s="421"/>
      <c r="D118" s="422"/>
      <c r="E118" s="422"/>
      <c r="F118" s="422"/>
      <c r="G118" s="422"/>
      <c r="H118" s="421"/>
      <c r="I118" s="421"/>
      <c r="J118" s="422"/>
      <c r="K118" s="422"/>
      <c r="L118" s="422"/>
      <c r="M118" s="422"/>
      <c r="N118" s="422"/>
      <c r="O118" s="422"/>
      <c r="P118" s="422"/>
      <c r="Q118" s="421"/>
      <c r="R118" s="421"/>
      <c r="S118" s="422"/>
    </row>
    <row r="119" spans="1:19" ht="75.75" customHeight="1">
      <c r="A119" s="383"/>
      <c r="B119" s="914" t="s">
        <v>539</v>
      </c>
      <c r="C119" s="914"/>
      <c r="D119" s="425"/>
      <c r="E119" s="425"/>
      <c r="F119" s="422"/>
      <c r="G119" s="422"/>
      <c r="H119" s="421"/>
      <c r="I119" s="421"/>
      <c r="J119" s="422"/>
      <c r="K119" s="422"/>
      <c r="L119" s="422"/>
      <c r="M119" s="422"/>
      <c r="N119" s="913" t="s">
        <v>433</v>
      </c>
      <c r="O119" s="913"/>
      <c r="P119" s="913"/>
      <c r="Q119" s="913"/>
      <c r="R119" s="913"/>
      <c r="S119" s="913"/>
    </row>
    <row r="120" spans="1:2" ht="18.75">
      <c r="A120" s="391"/>
      <c r="B120" s="391"/>
    </row>
  </sheetData>
  <sheetProtection/>
  <mergeCells count="31">
    <mergeCell ref="B116:O116"/>
    <mergeCell ref="C6:E6"/>
    <mergeCell ref="N119:S119"/>
    <mergeCell ref="B119:C119"/>
    <mergeCell ref="A10:B10"/>
    <mergeCell ref="I8:I9"/>
    <mergeCell ref="A11:B11"/>
    <mergeCell ref="S6:S9"/>
    <mergeCell ref="N115:S115"/>
    <mergeCell ref="I7:P7"/>
    <mergeCell ref="E1:O1"/>
    <mergeCell ref="E2:O2"/>
    <mergeCell ref="E3:O3"/>
    <mergeCell ref="F6:F9"/>
    <mergeCell ref="G6:G9"/>
    <mergeCell ref="P2:S2"/>
    <mergeCell ref="A2:D2"/>
    <mergeCell ref="H6:Q6"/>
    <mergeCell ref="D8:D9"/>
    <mergeCell ref="H7:H9"/>
    <mergeCell ref="P4:S4"/>
    <mergeCell ref="C7:C9"/>
    <mergeCell ref="A6:B9"/>
    <mergeCell ref="N114:S114"/>
    <mergeCell ref="E8:E9"/>
    <mergeCell ref="D7:E7"/>
    <mergeCell ref="A3:D3"/>
    <mergeCell ref="Q7:Q9"/>
    <mergeCell ref="R6:R9"/>
    <mergeCell ref="J8:P8"/>
    <mergeCell ref="B114:C114"/>
  </mergeCells>
  <conditionalFormatting sqref="I63">
    <cfRule type="expression" priority="15" dxfId="0" stopIfTrue="1">
      <formula>$I$16&lt;&gt;SUM($J$16:$P$16)</formula>
    </cfRule>
  </conditionalFormatting>
  <conditionalFormatting sqref="H63">
    <cfRule type="expression" priority="14" dxfId="0" stopIfTrue="1">
      <formula>$H$16&lt;&gt;$I$16+$Q$16</formula>
    </cfRule>
  </conditionalFormatting>
  <conditionalFormatting sqref="I63">
    <cfRule type="expression" priority="13" dxfId="0" stopIfTrue="1">
      <formula>$I$16&lt;&gt;SUM($J$16:$P$16)</formula>
    </cfRule>
  </conditionalFormatting>
  <conditionalFormatting sqref="C89">
    <cfRule type="expression" priority="12" dxfId="0" stopIfTrue="1">
      <formula>#REF!&lt;&gt;#REF!+#REF!</formula>
    </cfRule>
  </conditionalFormatting>
  <conditionalFormatting sqref="I89">
    <cfRule type="expression" priority="11" dxfId="0" stopIfTrue="1">
      <formula>#REF!&lt;&gt;SUM(#REF!)</formula>
    </cfRule>
  </conditionalFormatting>
  <conditionalFormatting sqref="H89">
    <cfRule type="expression" priority="10" dxfId="0" stopIfTrue="1">
      <formula>#REF!&lt;&gt;#REF!+#REF!</formula>
    </cfRule>
  </conditionalFormatting>
  <conditionalFormatting sqref="C88">
    <cfRule type="expression" priority="9" dxfId="0" stopIfTrue="1">
      <formula>$C$16&lt;&gt;$F$16+$H$16</formula>
    </cfRule>
  </conditionalFormatting>
  <conditionalFormatting sqref="I88">
    <cfRule type="expression" priority="8" dxfId="0" stopIfTrue="1">
      <formula>$I$16&lt;&gt;SUM($J$16:$P$16)</formula>
    </cfRule>
  </conditionalFormatting>
  <conditionalFormatting sqref="H88">
    <cfRule type="expression" priority="7" dxfId="0" stopIfTrue="1">
      <formula>$H$16&lt;&gt;$I$16+$Q$16</formula>
    </cfRule>
  </conditionalFormatting>
  <conditionalFormatting sqref="C89">
    <cfRule type="expression" priority="6" dxfId="0" stopIfTrue="1">
      <formula>#REF!&lt;&gt;#REF!+#REF!</formula>
    </cfRule>
  </conditionalFormatting>
  <conditionalFormatting sqref="I89">
    <cfRule type="expression" priority="5" dxfId="0" stopIfTrue="1">
      <formula>#REF!&lt;&gt;SUM(#REF!)</formula>
    </cfRule>
  </conditionalFormatting>
  <conditionalFormatting sqref="H89">
    <cfRule type="expression" priority="4" dxfId="0" stopIfTrue="1">
      <formula>#REF!&lt;&gt;#REF!+#REF!</formula>
    </cfRule>
  </conditionalFormatting>
  <conditionalFormatting sqref="C88">
    <cfRule type="expression" priority="3" dxfId="0" stopIfTrue="1">
      <formula>$C$16&lt;&gt;$F$16+$H$16</formula>
    </cfRule>
  </conditionalFormatting>
  <conditionalFormatting sqref="I88">
    <cfRule type="expression" priority="2" dxfId="0" stopIfTrue="1">
      <formula>$I$16&lt;&gt;SUM($J$16:$P$16)</formula>
    </cfRule>
  </conditionalFormatting>
  <conditionalFormatting sqref="H88">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4"/>
  <headerFooter differentFirst="1" alignWithMargins="0">
    <oddFooter>&amp;C&amp;P</oddFooter>
  </headerFooter>
  <ignoredErrors>
    <ignoredError sqref="C106 D90:Q90 D106:G106 D109:G109 Q108 I106:Q106 I109:Q109 C91:L93 Q107" unlockedFormula="1"/>
    <ignoredError sqref="C94 C90 C68:Q68 H109 H106 D107:G108 I107:P108 H107:H108" formula="1" unlockedFormula="1"/>
    <ignoredError sqref="C61 C56" formula="1"/>
    <ignoredError sqref="O111:P113" numberStoredAsText="1"/>
    <ignoredError sqref="D107:G108 I107:P108" numberStoredAsText="1" unlockedFormula="1"/>
    <ignoredError sqref="H107:H108" numberStoredAsText="1" formula="1" unlockedFormula="1"/>
    <ignoredError sqref="I17:I30" formulaRange="1"/>
  </ignoredErrors>
  <drawing r:id="rId3"/>
  <legacyDrawing r:id="rId2"/>
</worksheet>
</file>

<file path=xl/worksheets/sheet14.xml><?xml version="1.0" encoding="utf-8"?>
<worksheet xmlns="http://schemas.openxmlformats.org/spreadsheetml/2006/main" xmlns:r="http://schemas.openxmlformats.org/officeDocument/2006/relationships">
  <sheetPr>
    <tabColor indexed="19"/>
  </sheetPr>
  <dimension ref="A1:AJ123"/>
  <sheetViews>
    <sheetView showZeros="0" tabSelected="1" view="pageBreakPreview" zoomScale="85" zoomScaleNormal="85" zoomScaleSheetLayoutView="85" zoomScalePageLayoutView="0" workbookViewId="0" topLeftCell="A106">
      <selection activeCell="A1" sqref="A1:T113"/>
    </sheetView>
  </sheetViews>
  <sheetFormatPr defaultColWidth="9.00390625" defaultRowHeight="15.75"/>
  <cols>
    <col min="1" max="1" width="5.50390625" style="574" customWidth="1"/>
    <col min="2" max="2" width="15.625" style="431" customWidth="1"/>
    <col min="3" max="3" width="12.50390625" style="432" customWidth="1"/>
    <col min="4" max="4" width="10.625" style="433" customWidth="1"/>
    <col min="5" max="5" width="8.875" style="433" customWidth="1"/>
    <col min="6" max="6" width="7.50390625" style="433" customWidth="1"/>
    <col min="7" max="7" width="8.75390625" style="433" customWidth="1"/>
    <col min="8" max="8" width="10.00390625" style="432" customWidth="1"/>
    <col min="9" max="9" width="10.25390625" style="432" customWidth="1"/>
    <col min="10" max="10" width="8.625" style="433" customWidth="1"/>
    <col min="11" max="11" width="8.50390625" style="433" customWidth="1"/>
    <col min="12" max="12" width="5.875" style="433" customWidth="1"/>
    <col min="13" max="13" width="10.00390625" style="433" customWidth="1"/>
    <col min="14" max="14" width="7.50390625" style="433" customWidth="1"/>
    <col min="15" max="15" width="9.00390625" style="433" customWidth="1"/>
    <col min="16" max="16" width="6.375" style="433" customWidth="1"/>
    <col min="17" max="17" width="7.25390625" style="433" customWidth="1"/>
    <col min="18" max="18" width="9.125" style="432" customWidth="1"/>
    <col min="19" max="19" width="10.25390625" style="432" customWidth="1"/>
    <col min="20" max="20" width="5.25390625" style="431" customWidth="1"/>
    <col min="21" max="21" width="11.50390625" style="433" bestFit="1" customWidth="1"/>
    <col min="22" max="16384" width="9.00390625" style="431" customWidth="1"/>
  </cols>
  <sheetData>
    <row r="1" spans="1:20" ht="20.25" customHeight="1">
      <c r="A1" s="574" t="s">
        <v>28</v>
      </c>
      <c r="E1" s="944" t="s">
        <v>64</v>
      </c>
      <c r="F1" s="944"/>
      <c r="G1" s="944"/>
      <c r="H1" s="944"/>
      <c r="I1" s="944"/>
      <c r="J1" s="944"/>
      <c r="K1" s="944"/>
      <c r="L1" s="944"/>
      <c r="M1" s="944"/>
      <c r="N1" s="944"/>
      <c r="O1" s="944"/>
      <c r="P1" s="944"/>
      <c r="Q1" s="434" t="s">
        <v>428</v>
      </c>
      <c r="R1" s="435"/>
      <c r="S1" s="435"/>
      <c r="T1" s="436"/>
    </row>
    <row r="2" spans="1:20" ht="17.25" customHeight="1">
      <c r="A2" s="934" t="s">
        <v>237</v>
      </c>
      <c r="B2" s="934"/>
      <c r="C2" s="934"/>
      <c r="D2" s="934"/>
      <c r="E2" s="945" t="s">
        <v>34</v>
      </c>
      <c r="F2" s="945"/>
      <c r="G2" s="945"/>
      <c r="H2" s="945"/>
      <c r="I2" s="945"/>
      <c r="J2" s="945"/>
      <c r="K2" s="945"/>
      <c r="L2" s="945"/>
      <c r="M2" s="945"/>
      <c r="N2" s="945"/>
      <c r="O2" s="945"/>
      <c r="P2" s="945"/>
      <c r="Q2" s="947" t="str">
        <f>'Thong tin'!B4</f>
        <v>CTHADS Hải Phòng</v>
      </c>
      <c r="R2" s="947"/>
      <c r="S2" s="947"/>
      <c r="T2" s="947"/>
    </row>
    <row r="3" spans="1:20" ht="18" customHeight="1">
      <c r="A3" s="934" t="s">
        <v>238</v>
      </c>
      <c r="B3" s="934"/>
      <c r="C3" s="934"/>
      <c r="D3" s="934"/>
      <c r="E3" s="946" t="str">
        <f>'Thong tin'!B3</f>
        <v>05 tháng / năm 2017</v>
      </c>
      <c r="F3" s="946"/>
      <c r="G3" s="946"/>
      <c r="H3" s="946"/>
      <c r="I3" s="946"/>
      <c r="J3" s="946"/>
      <c r="K3" s="946"/>
      <c r="L3" s="946"/>
      <c r="M3" s="946"/>
      <c r="N3" s="946"/>
      <c r="O3" s="946"/>
      <c r="P3" s="946"/>
      <c r="Q3" s="434" t="s">
        <v>538</v>
      </c>
      <c r="S3" s="435"/>
      <c r="T3" s="436"/>
    </row>
    <row r="4" spans="1:20" ht="14.25" customHeight="1">
      <c r="A4" s="575" t="s">
        <v>116</v>
      </c>
      <c r="Q4" s="940" t="s">
        <v>300</v>
      </c>
      <c r="R4" s="940"/>
      <c r="S4" s="940"/>
      <c r="T4" s="940"/>
    </row>
    <row r="5" spans="17:20" ht="21.75" customHeight="1" thickBot="1">
      <c r="Q5" s="943" t="s">
        <v>429</v>
      </c>
      <c r="R5" s="943"/>
      <c r="S5" s="943"/>
      <c r="T5" s="943"/>
    </row>
    <row r="6" spans="1:36" ht="18.75" customHeight="1" thickTop="1">
      <c r="A6" s="921" t="s">
        <v>55</v>
      </c>
      <c r="B6" s="922"/>
      <c r="C6" s="927" t="s">
        <v>117</v>
      </c>
      <c r="D6" s="927"/>
      <c r="E6" s="927"/>
      <c r="F6" s="938" t="s">
        <v>99</v>
      </c>
      <c r="G6" s="938" t="s">
        <v>118</v>
      </c>
      <c r="H6" s="929" t="s">
        <v>100</v>
      </c>
      <c r="I6" s="929"/>
      <c r="J6" s="929"/>
      <c r="K6" s="929"/>
      <c r="L6" s="929"/>
      <c r="M6" s="929"/>
      <c r="N6" s="929"/>
      <c r="O6" s="929"/>
      <c r="P6" s="929"/>
      <c r="Q6" s="929"/>
      <c r="R6" s="929"/>
      <c r="S6" s="925" t="s">
        <v>242</v>
      </c>
      <c r="T6" s="941" t="s">
        <v>427</v>
      </c>
      <c r="U6" s="434"/>
      <c r="V6" s="436"/>
      <c r="W6" s="436"/>
      <c r="X6" s="436"/>
      <c r="Y6" s="436"/>
      <c r="Z6" s="436"/>
      <c r="AA6" s="436"/>
      <c r="AB6" s="436"/>
      <c r="AC6" s="436"/>
      <c r="AD6" s="436"/>
      <c r="AE6" s="436"/>
      <c r="AF6" s="436"/>
      <c r="AG6" s="436"/>
      <c r="AH6" s="436"/>
      <c r="AI6" s="436"/>
      <c r="AJ6" s="436"/>
    </row>
    <row r="7" spans="1:36" s="439" customFormat="1" ht="21" customHeight="1">
      <c r="A7" s="923"/>
      <c r="B7" s="924"/>
      <c r="C7" s="926" t="s">
        <v>42</v>
      </c>
      <c r="D7" s="932" t="s">
        <v>7</v>
      </c>
      <c r="E7" s="932"/>
      <c r="F7" s="939"/>
      <c r="G7" s="939"/>
      <c r="H7" s="937" t="s">
        <v>100</v>
      </c>
      <c r="I7" s="932" t="s">
        <v>101</v>
      </c>
      <c r="J7" s="932"/>
      <c r="K7" s="932"/>
      <c r="L7" s="932"/>
      <c r="M7" s="932"/>
      <c r="N7" s="932"/>
      <c r="O7" s="932"/>
      <c r="P7" s="932"/>
      <c r="Q7" s="932"/>
      <c r="R7" s="937" t="s">
        <v>119</v>
      </c>
      <c r="S7" s="926"/>
      <c r="T7" s="942"/>
      <c r="U7" s="434"/>
      <c r="V7" s="436"/>
      <c r="W7" s="436"/>
      <c r="X7" s="436"/>
      <c r="Y7" s="436"/>
      <c r="Z7" s="436"/>
      <c r="AA7" s="436"/>
      <c r="AB7" s="436"/>
      <c r="AC7" s="436"/>
      <c r="AD7" s="436"/>
      <c r="AE7" s="436"/>
      <c r="AF7" s="436"/>
      <c r="AG7" s="436"/>
      <c r="AH7" s="436"/>
      <c r="AI7" s="436"/>
      <c r="AJ7" s="436"/>
    </row>
    <row r="8" spans="1:36" ht="21.75" customHeight="1">
      <c r="A8" s="923"/>
      <c r="B8" s="924"/>
      <c r="C8" s="926"/>
      <c r="D8" s="932" t="s">
        <v>120</v>
      </c>
      <c r="E8" s="932" t="s">
        <v>121</v>
      </c>
      <c r="F8" s="939"/>
      <c r="G8" s="939"/>
      <c r="H8" s="937"/>
      <c r="I8" s="937" t="s">
        <v>426</v>
      </c>
      <c r="J8" s="932" t="s">
        <v>7</v>
      </c>
      <c r="K8" s="932"/>
      <c r="L8" s="932"/>
      <c r="M8" s="932"/>
      <c r="N8" s="932"/>
      <c r="O8" s="932"/>
      <c r="P8" s="932"/>
      <c r="Q8" s="932"/>
      <c r="R8" s="937"/>
      <c r="S8" s="926"/>
      <c r="T8" s="942"/>
      <c r="U8" s="434"/>
      <c r="V8" s="436"/>
      <c r="W8" s="436"/>
      <c r="X8" s="436"/>
      <c r="Y8" s="436"/>
      <c r="Z8" s="436"/>
      <c r="AA8" s="436"/>
      <c r="AB8" s="436"/>
      <c r="AC8" s="436"/>
      <c r="AD8" s="436"/>
      <c r="AE8" s="436"/>
      <c r="AF8" s="436"/>
      <c r="AG8" s="436"/>
      <c r="AH8" s="436"/>
      <c r="AI8" s="436"/>
      <c r="AJ8" s="436"/>
    </row>
    <row r="9" spans="1:36" ht="84" customHeight="1">
      <c r="A9" s="923"/>
      <c r="B9" s="924"/>
      <c r="C9" s="926"/>
      <c r="D9" s="932"/>
      <c r="E9" s="932"/>
      <c r="F9" s="939"/>
      <c r="G9" s="939"/>
      <c r="H9" s="937"/>
      <c r="I9" s="937"/>
      <c r="J9" s="437" t="s">
        <v>122</v>
      </c>
      <c r="K9" s="437" t="s">
        <v>123</v>
      </c>
      <c r="L9" s="437" t="s">
        <v>115</v>
      </c>
      <c r="M9" s="438" t="s">
        <v>103</v>
      </c>
      <c r="N9" s="438" t="s">
        <v>124</v>
      </c>
      <c r="O9" s="438" t="s">
        <v>106</v>
      </c>
      <c r="P9" s="438" t="s">
        <v>243</v>
      </c>
      <c r="Q9" s="438" t="s">
        <v>109</v>
      </c>
      <c r="R9" s="937"/>
      <c r="S9" s="926"/>
      <c r="T9" s="942"/>
      <c r="U9" s="434"/>
      <c r="V9" s="436"/>
      <c r="W9" s="436"/>
      <c r="X9" s="436"/>
      <c r="Y9" s="436"/>
      <c r="Z9" s="436"/>
      <c r="AA9" s="436"/>
      <c r="AB9" s="436"/>
      <c r="AC9" s="436"/>
      <c r="AD9" s="436"/>
      <c r="AE9" s="436"/>
      <c r="AF9" s="436"/>
      <c r="AG9" s="436"/>
      <c r="AH9" s="436"/>
      <c r="AI9" s="436"/>
      <c r="AJ9" s="436"/>
    </row>
    <row r="10" spans="1:20" ht="17.25" customHeight="1">
      <c r="A10" s="930" t="s">
        <v>6</v>
      </c>
      <c r="B10" s="931"/>
      <c r="C10" s="401">
        <v>1</v>
      </c>
      <c r="D10" s="394">
        <v>2</v>
      </c>
      <c r="E10" s="394">
        <v>3</v>
      </c>
      <c r="F10" s="394">
        <v>4</v>
      </c>
      <c r="G10" s="394">
        <v>5</v>
      </c>
      <c r="H10" s="401">
        <v>6</v>
      </c>
      <c r="I10" s="401">
        <v>7</v>
      </c>
      <c r="J10" s="394">
        <v>8</v>
      </c>
      <c r="K10" s="394">
        <v>9</v>
      </c>
      <c r="L10" s="394" t="s">
        <v>81</v>
      </c>
      <c r="M10" s="394" t="s">
        <v>82</v>
      </c>
      <c r="N10" s="394" t="s">
        <v>83</v>
      </c>
      <c r="O10" s="394" t="s">
        <v>84</v>
      </c>
      <c r="P10" s="394" t="s">
        <v>85</v>
      </c>
      <c r="Q10" s="394" t="s">
        <v>245</v>
      </c>
      <c r="R10" s="401" t="s">
        <v>246</v>
      </c>
      <c r="S10" s="401" t="s">
        <v>247</v>
      </c>
      <c r="T10" s="393" t="s">
        <v>248</v>
      </c>
    </row>
    <row r="11" spans="1:21" s="443" customFormat="1" ht="24" customHeight="1">
      <c r="A11" s="919" t="s">
        <v>30</v>
      </c>
      <c r="B11" s="920"/>
      <c r="C11" s="440">
        <f aca="true" t="shared" si="0" ref="C11:R11">C12+C30</f>
        <v>4004196518</v>
      </c>
      <c r="D11" s="440">
        <f t="shared" si="0"/>
        <v>3387427825</v>
      </c>
      <c r="E11" s="440">
        <f t="shared" si="0"/>
        <v>616768693</v>
      </c>
      <c r="F11" s="440">
        <f t="shared" si="0"/>
        <v>16070106</v>
      </c>
      <c r="G11" s="440">
        <f t="shared" si="0"/>
        <v>20966541</v>
      </c>
      <c r="H11" s="440">
        <f t="shared" si="0"/>
        <v>3988126412</v>
      </c>
      <c r="I11" s="440">
        <f t="shared" si="0"/>
        <v>2511514651</v>
      </c>
      <c r="J11" s="440">
        <f t="shared" si="0"/>
        <v>167250606</v>
      </c>
      <c r="K11" s="440">
        <f t="shared" si="0"/>
        <v>117477699</v>
      </c>
      <c r="L11" s="440">
        <f t="shared" si="0"/>
        <v>34448</v>
      </c>
      <c r="M11" s="440">
        <f t="shared" si="0"/>
        <v>2148569182</v>
      </c>
      <c r="N11" s="440">
        <f t="shared" si="0"/>
        <v>20841245</v>
      </c>
      <c r="O11" s="440">
        <f t="shared" si="0"/>
        <v>41985470</v>
      </c>
      <c r="P11" s="440">
        <f t="shared" si="0"/>
        <v>0</v>
      </c>
      <c r="Q11" s="440">
        <f t="shared" si="0"/>
        <v>15356001</v>
      </c>
      <c r="R11" s="440">
        <f t="shared" si="0"/>
        <v>1476611761</v>
      </c>
      <c r="S11" s="441">
        <f>S12+S30</f>
        <v>3703363659</v>
      </c>
      <c r="T11" s="452">
        <f>(J11+K11+L11)/I11*100</f>
        <v>11.338287550367946</v>
      </c>
      <c r="U11" s="442">
        <f>C11-F11-H11</f>
        <v>0</v>
      </c>
    </row>
    <row r="12" spans="1:21" s="443" customFormat="1" ht="24" customHeight="1">
      <c r="A12" s="447" t="s">
        <v>0</v>
      </c>
      <c r="B12" s="444" t="s">
        <v>78</v>
      </c>
      <c r="C12" s="440">
        <f>SUM(C13:C29)</f>
        <v>1050036553</v>
      </c>
      <c r="D12" s="440">
        <f>SUM(D13:D29)</f>
        <v>979878620</v>
      </c>
      <c r="E12" s="440">
        <f aca="true" t="shared" si="1" ref="E12:R12">SUM(E13:E29)</f>
        <v>70157933</v>
      </c>
      <c r="F12" s="440">
        <f t="shared" si="1"/>
        <v>7977355</v>
      </c>
      <c r="G12" s="440">
        <f t="shared" si="1"/>
        <v>0</v>
      </c>
      <c r="H12" s="440">
        <f t="shared" si="1"/>
        <v>1042059198</v>
      </c>
      <c r="I12" s="440">
        <f t="shared" si="1"/>
        <v>769597425</v>
      </c>
      <c r="J12" s="440">
        <f t="shared" si="1"/>
        <v>42436529</v>
      </c>
      <c r="K12" s="440">
        <f t="shared" si="1"/>
        <v>29011933</v>
      </c>
      <c r="L12" s="440">
        <f t="shared" si="1"/>
        <v>0</v>
      </c>
      <c r="M12" s="440">
        <f t="shared" si="1"/>
        <v>673082269</v>
      </c>
      <c r="N12" s="440">
        <f t="shared" si="1"/>
        <v>0</v>
      </c>
      <c r="O12" s="440">
        <f t="shared" si="1"/>
        <v>25066694</v>
      </c>
      <c r="P12" s="440">
        <f t="shared" si="1"/>
        <v>0</v>
      </c>
      <c r="Q12" s="440">
        <f t="shared" si="1"/>
        <v>0</v>
      </c>
      <c r="R12" s="440">
        <f t="shared" si="1"/>
        <v>272461773</v>
      </c>
      <c r="S12" s="440">
        <f>SUM(S13:S29)</f>
        <v>970610736</v>
      </c>
      <c r="T12" s="452">
        <f aca="true" t="shared" si="2" ref="T12:T75">(J12+K12+L12)/I12*100</f>
        <v>9.283874877829795</v>
      </c>
      <c r="U12" s="442">
        <f aca="true" t="shared" si="3" ref="U12:U75">C12-F12-H12</f>
        <v>0</v>
      </c>
    </row>
    <row r="13" spans="1:21" s="539" customFormat="1" ht="24" customHeight="1">
      <c r="A13" s="525" t="s">
        <v>45</v>
      </c>
      <c r="B13" s="445" t="s">
        <v>435</v>
      </c>
      <c r="C13" s="526">
        <f>D13+E13</f>
        <v>5936632</v>
      </c>
      <c r="D13" s="527">
        <v>5804032</v>
      </c>
      <c r="E13" s="526">
        <v>132600</v>
      </c>
      <c r="F13" s="526"/>
      <c r="G13" s="526"/>
      <c r="H13" s="526">
        <f>I13+R13</f>
        <v>5936632</v>
      </c>
      <c r="I13" s="526">
        <f>SUM(J13:Q13)</f>
        <v>5936632</v>
      </c>
      <c r="J13" s="526">
        <v>22702</v>
      </c>
      <c r="K13" s="526"/>
      <c r="L13" s="526"/>
      <c r="M13" s="526">
        <v>5913930</v>
      </c>
      <c r="N13" s="526"/>
      <c r="O13" s="526"/>
      <c r="P13" s="526"/>
      <c r="Q13" s="526"/>
      <c r="R13" s="526"/>
      <c r="S13" s="526">
        <f aca="true" t="shared" si="4" ref="S13:S76">SUM(M13:R13)</f>
        <v>5913930</v>
      </c>
      <c r="T13" s="528">
        <f t="shared" si="2"/>
        <v>0.3824053773250557</v>
      </c>
      <c r="U13" s="511">
        <f t="shared" si="3"/>
        <v>0</v>
      </c>
    </row>
    <row r="14" spans="1:21" s="539" customFormat="1" ht="24" customHeight="1">
      <c r="A14" s="525" t="s">
        <v>46</v>
      </c>
      <c r="B14" s="445" t="s">
        <v>436</v>
      </c>
      <c r="C14" s="526">
        <f aca="true" t="shared" si="5" ref="C14:C29">D14+E14</f>
        <v>1210750</v>
      </c>
      <c r="D14" s="527">
        <v>5150</v>
      </c>
      <c r="E14" s="526">
        <v>1205600</v>
      </c>
      <c r="F14" s="526"/>
      <c r="G14" s="526"/>
      <c r="H14" s="526">
        <f aca="true" t="shared" si="6" ref="H14:H29">I14+R14</f>
        <v>1210750</v>
      </c>
      <c r="I14" s="526">
        <f aca="true" t="shared" si="7" ref="I14:I29">SUM(J14:Q14)</f>
        <v>1210750</v>
      </c>
      <c r="J14" s="526"/>
      <c r="K14" s="526"/>
      <c r="L14" s="526"/>
      <c r="M14" s="526">
        <v>1210750</v>
      </c>
      <c r="N14" s="526"/>
      <c r="O14" s="526"/>
      <c r="P14" s="526"/>
      <c r="Q14" s="526"/>
      <c r="R14" s="526"/>
      <c r="S14" s="526">
        <f t="shared" si="4"/>
        <v>1210750</v>
      </c>
      <c r="T14" s="528">
        <f t="shared" si="2"/>
        <v>0</v>
      </c>
      <c r="U14" s="511">
        <f t="shared" si="3"/>
        <v>0</v>
      </c>
    </row>
    <row r="15" spans="1:21" s="539" customFormat="1" ht="24" customHeight="1">
      <c r="A15" s="525" t="s">
        <v>102</v>
      </c>
      <c r="B15" s="445" t="s">
        <v>433</v>
      </c>
      <c r="C15" s="526">
        <f>D15+E15</f>
        <v>1800</v>
      </c>
      <c r="D15" s="527">
        <v>100</v>
      </c>
      <c r="E15" s="526">
        <f>400+1300</f>
        <v>1700</v>
      </c>
      <c r="F15" s="526"/>
      <c r="G15" s="526"/>
      <c r="H15" s="526">
        <f t="shared" si="6"/>
        <v>1800</v>
      </c>
      <c r="I15" s="526">
        <f t="shared" si="7"/>
        <v>1800</v>
      </c>
      <c r="J15" s="526">
        <v>1300</v>
      </c>
      <c r="K15" s="526"/>
      <c r="L15" s="526"/>
      <c r="M15" s="526">
        <v>500</v>
      </c>
      <c r="N15" s="526"/>
      <c r="O15" s="526"/>
      <c r="P15" s="526"/>
      <c r="Q15" s="526"/>
      <c r="R15" s="526"/>
      <c r="S15" s="526">
        <f t="shared" si="4"/>
        <v>500</v>
      </c>
      <c r="T15" s="528">
        <f t="shared" si="2"/>
        <v>72.22222222222221</v>
      </c>
      <c r="U15" s="511">
        <f t="shared" si="3"/>
        <v>0</v>
      </c>
    </row>
    <row r="16" spans="1:21" s="539" customFormat="1" ht="24" customHeight="1">
      <c r="A16" s="525" t="s">
        <v>104</v>
      </c>
      <c r="B16" s="445" t="s">
        <v>531</v>
      </c>
      <c r="C16" s="526">
        <f t="shared" si="5"/>
        <v>32847436</v>
      </c>
      <c r="D16" s="527">
        <v>290009</v>
      </c>
      <c r="E16" s="526">
        <f>283209+32274218</f>
        <v>32557427</v>
      </c>
      <c r="F16" s="526">
        <v>410765</v>
      </c>
      <c r="G16" s="526"/>
      <c r="H16" s="526">
        <f t="shared" si="6"/>
        <v>32436671</v>
      </c>
      <c r="I16" s="526">
        <f t="shared" si="7"/>
        <v>32436671</v>
      </c>
      <c r="J16" s="526">
        <v>114600</v>
      </c>
      <c r="K16" s="526"/>
      <c r="L16" s="526"/>
      <c r="M16" s="526">
        <v>7255377</v>
      </c>
      <c r="N16" s="526"/>
      <c r="O16" s="526">
        <v>25066694</v>
      </c>
      <c r="P16" s="526"/>
      <c r="Q16" s="526"/>
      <c r="R16" s="526"/>
      <c r="S16" s="526">
        <f t="shared" si="4"/>
        <v>32322071</v>
      </c>
      <c r="T16" s="528">
        <f t="shared" si="2"/>
        <v>0.353303827017267</v>
      </c>
      <c r="U16" s="511">
        <f t="shared" si="3"/>
        <v>0</v>
      </c>
    </row>
    <row r="17" spans="1:21" s="539" customFormat="1" ht="24" customHeight="1">
      <c r="A17" s="525" t="s">
        <v>105</v>
      </c>
      <c r="B17" s="445" t="s">
        <v>437</v>
      </c>
      <c r="C17" s="526">
        <f t="shared" si="5"/>
        <v>3741715</v>
      </c>
      <c r="D17" s="527">
        <v>3713115</v>
      </c>
      <c r="E17" s="526">
        <v>28600</v>
      </c>
      <c r="F17" s="526"/>
      <c r="G17" s="526"/>
      <c r="H17" s="526">
        <f t="shared" si="6"/>
        <v>3741715</v>
      </c>
      <c r="I17" s="526">
        <f t="shared" si="7"/>
        <v>3714193</v>
      </c>
      <c r="J17" s="526">
        <v>13000</v>
      </c>
      <c r="K17" s="526"/>
      <c r="L17" s="529"/>
      <c r="M17" s="529">
        <v>3701193</v>
      </c>
      <c r="N17" s="528"/>
      <c r="O17" s="528"/>
      <c r="P17" s="528"/>
      <c r="Q17" s="528"/>
      <c r="R17" s="528">
        <v>27522</v>
      </c>
      <c r="S17" s="526">
        <f t="shared" si="4"/>
        <v>3728715</v>
      </c>
      <c r="T17" s="528">
        <f t="shared" si="2"/>
        <v>0.3500087367565444</v>
      </c>
      <c r="U17" s="511">
        <f t="shared" si="3"/>
        <v>0</v>
      </c>
    </row>
    <row r="18" spans="1:21" s="539" customFormat="1" ht="24" customHeight="1">
      <c r="A18" s="525" t="s">
        <v>107</v>
      </c>
      <c r="B18" s="445" t="s">
        <v>438</v>
      </c>
      <c r="C18" s="526">
        <f t="shared" si="5"/>
        <v>42670781</v>
      </c>
      <c r="D18" s="527">
        <v>42638111</v>
      </c>
      <c r="E18" s="528">
        <v>32670</v>
      </c>
      <c r="F18" s="526"/>
      <c r="G18" s="528"/>
      <c r="H18" s="526">
        <f t="shared" si="6"/>
        <v>42670781</v>
      </c>
      <c r="I18" s="526">
        <f t="shared" si="7"/>
        <v>12616284</v>
      </c>
      <c r="J18" s="528"/>
      <c r="K18" s="528"/>
      <c r="L18" s="528"/>
      <c r="M18" s="528">
        <f>12583614+32670</f>
        <v>12616284</v>
      </c>
      <c r="N18" s="529"/>
      <c r="O18" s="528"/>
      <c r="P18" s="528"/>
      <c r="Q18" s="528"/>
      <c r="R18" s="528">
        <v>30054497</v>
      </c>
      <c r="S18" s="526">
        <f t="shared" si="4"/>
        <v>42670781</v>
      </c>
      <c r="T18" s="528">
        <f t="shared" si="2"/>
        <v>0</v>
      </c>
      <c r="U18" s="511">
        <f t="shared" si="3"/>
        <v>0</v>
      </c>
    </row>
    <row r="19" spans="1:21" s="539" customFormat="1" ht="24" customHeight="1">
      <c r="A19" s="525" t="s">
        <v>108</v>
      </c>
      <c r="B19" s="445" t="s">
        <v>439</v>
      </c>
      <c r="C19" s="526">
        <f t="shared" si="5"/>
        <v>24946155</v>
      </c>
      <c r="D19" s="527">
        <v>24794073</v>
      </c>
      <c r="E19" s="528">
        <v>152082</v>
      </c>
      <c r="F19" s="526"/>
      <c r="G19" s="528"/>
      <c r="H19" s="526">
        <f t="shared" si="6"/>
        <v>24946155</v>
      </c>
      <c r="I19" s="526">
        <f t="shared" si="7"/>
        <v>24816549</v>
      </c>
      <c r="J19" s="528">
        <v>26800</v>
      </c>
      <c r="K19" s="528"/>
      <c r="L19" s="528"/>
      <c r="M19" s="528">
        <v>24789749</v>
      </c>
      <c r="N19" s="529"/>
      <c r="O19" s="528"/>
      <c r="P19" s="528"/>
      <c r="Q19" s="528"/>
      <c r="R19" s="528">
        <v>129606</v>
      </c>
      <c r="S19" s="526">
        <f t="shared" si="4"/>
        <v>24919355</v>
      </c>
      <c r="T19" s="528">
        <f t="shared" si="2"/>
        <v>0.1079924529393672</v>
      </c>
      <c r="U19" s="511">
        <f t="shared" si="3"/>
        <v>0</v>
      </c>
    </row>
    <row r="20" spans="1:21" s="539" customFormat="1" ht="24" customHeight="1">
      <c r="A20" s="525" t="s">
        <v>114</v>
      </c>
      <c r="B20" s="445" t="s">
        <v>440</v>
      </c>
      <c r="C20" s="526">
        <f t="shared" si="5"/>
        <v>239290</v>
      </c>
      <c r="D20" s="527">
        <v>147000</v>
      </c>
      <c r="E20" s="528">
        <f>600+91690</f>
        <v>92290</v>
      </c>
      <c r="F20" s="526"/>
      <c r="G20" s="528"/>
      <c r="H20" s="526">
        <f t="shared" si="6"/>
        <v>239290</v>
      </c>
      <c r="I20" s="526">
        <f t="shared" si="7"/>
        <v>239290</v>
      </c>
      <c r="J20" s="528">
        <f>600+3600</f>
        <v>4200</v>
      </c>
      <c r="K20" s="528"/>
      <c r="L20" s="528"/>
      <c r="M20" s="528">
        <v>235090</v>
      </c>
      <c r="N20" s="529"/>
      <c r="O20" s="528"/>
      <c r="P20" s="528"/>
      <c r="Q20" s="528"/>
      <c r="R20" s="528"/>
      <c r="S20" s="526">
        <f t="shared" si="4"/>
        <v>235090</v>
      </c>
      <c r="T20" s="528">
        <f t="shared" si="2"/>
        <v>1.7551924443144302</v>
      </c>
      <c r="U20" s="511">
        <f t="shared" si="3"/>
        <v>0</v>
      </c>
    </row>
    <row r="21" spans="1:21" s="539" customFormat="1" ht="24" customHeight="1">
      <c r="A21" s="525" t="s">
        <v>424</v>
      </c>
      <c r="B21" s="445" t="s">
        <v>442</v>
      </c>
      <c r="C21" s="526">
        <f t="shared" si="5"/>
        <v>118461745</v>
      </c>
      <c r="D21" s="527">
        <v>117342215</v>
      </c>
      <c r="E21" s="528">
        <v>1119530</v>
      </c>
      <c r="F21" s="526">
        <v>26000</v>
      </c>
      <c r="G21" s="528"/>
      <c r="H21" s="526">
        <f t="shared" si="6"/>
        <v>118435745</v>
      </c>
      <c r="I21" s="526">
        <f t="shared" si="7"/>
        <v>118435745</v>
      </c>
      <c r="J21" s="528">
        <v>6098330</v>
      </c>
      <c r="K21" s="528"/>
      <c r="L21" s="528"/>
      <c r="M21" s="528">
        <v>112337415</v>
      </c>
      <c r="N21" s="529"/>
      <c r="O21" s="528"/>
      <c r="P21" s="528"/>
      <c r="Q21" s="528"/>
      <c r="R21" s="528"/>
      <c r="S21" s="526">
        <f t="shared" si="4"/>
        <v>112337415</v>
      </c>
      <c r="T21" s="528">
        <f t="shared" si="2"/>
        <v>5.149062050481466</v>
      </c>
      <c r="U21" s="511">
        <f t="shared" si="3"/>
        <v>0</v>
      </c>
    </row>
    <row r="22" spans="1:21" s="539" customFormat="1" ht="24" customHeight="1">
      <c r="A22" s="525" t="s">
        <v>441</v>
      </c>
      <c r="B22" s="445" t="s">
        <v>444</v>
      </c>
      <c r="C22" s="526">
        <f t="shared" si="5"/>
        <v>44269040</v>
      </c>
      <c r="D22" s="527">
        <v>44163310</v>
      </c>
      <c r="E22" s="528">
        <v>105730</v>
      </c>
      <c r="F22" s="526"/>
      <c r="G22" s="528"/>
      <c r="H22" s="526">
        <f t="shared" si="6"/>
        <v>44269040</v>
      </c>
      <c r="I22" s="526">
        <f t="shared" si="7"/>
        <v>44269040</v>
      </c>
      <c r="J22" s="528">
        <v>4517196</v>
      </c>
      <c r="K22" s="528"/>
      <c r="L22" s="528"/>
      <c r="M22" s="528">
        <v>39751844</v>
      </c>
      <c r="N22" s="529"/>
      <c r="O22" s="528"/>
      <c r="P22" s="528"/>
      <c r="Q22" s="528"/>
      <c r="R22" s="528"/>
      <c r="S22" s="526">
        <f t="shared" si="4"/>
        <v>39751844</v>
      </c>
      <c r="T22" s="528">
        <f t="shared" si="2"/>
        <v>10.203961956256562</v>
      </c>
      <c r="U22" s="511">
        <f t="shared" si="3"/>
        <v>0</v>
      </c>
    </row>
    <row r="23" spans="1:21" s="539" customFormat="1" ht="24" customHeight="1">
      <c r="A23" s="525" t="s">
        <v>443</v>
      </c>
      <c r="B23" s="445" t="s">
        <v>571</v>
      </c>
      <c r="C23" s="526">
        <f t="shared" si="5"/>
        <v>17203317</v>
      </c>
      <c r="D23" s="527">
        <v>17088954</v>
      </c>
      <c r="E23" s="528">
        <v>114363</v>
      </c>
      <c r="F23" s="526"/>
      <c r="G23" s="528"/>
      <c r="H23" s="526">
        <f t="shared" si="6"/>
        <v>17203317</v>
      </c>
      <c r="I23" s="526">
        <f t="shared" si="7"/>
        <v>17203317</v>
      </c>
      <c r="J23" s="528">
        <v>2475002</v>
      </c>
      <c r="K23" s="528"/>
      <c r="L23" s="528"/>
      <c r="M23" s="528">
        <v>14728315</v>
      </c>
      <c r="N23" s="529"/>
      <c r="O23" s="528"/>
      <c r="P23" s="528"/>
      <c r="Q23" s="528"/>
      <c r="R23" s="528"/>
      <c r="S23" s="526">
        <f t="shared" si="4"/>
        <v>14728315</v>
      </c>
      <c r="T23" s="528">
        <f t="shared" si="2"/>
        <v>14.38677203936892</v>
      </c>
      <c r="U23" s="511">
        <f t="shared" si="3"/>
        <v>0</v>
      </c>
    </row>
    <row r="24" spans="1:21" s="539" customFormat="1" ht="24" customHeight="1">
      <c r="A24" s="525" t="s">
        <v>445</v>
      </c>
      <c r="B24" s="445" t="s">
        <v>543</v>
      </c>
      <c r="C24" s="526">
        <f t="shared" si="5"/>
        <v>298535239</v>
      </c>
      <c r="D24" s="528">
        <v>294361538</v>
      </c>
      <c r="E24" s="528">
        <v>4173701</v>
      </c>
      <c r="F24" s="526">
        <v>208914</v>
      </c>
      <c r="G24" s="528"/>
      <c r="H24" s="526">
        <f t="shared" si="6"/>
        <v>298326325</v>
      </c>
      <c r="I24" s="526">
        <f t="shared" si="7"/>
        <v>61563059</v>
      </c>
      <c r="J24" s="528">
        <v>26495283</v>
      </c>
      <c r="K24" s="528"/>
      <c r="L24" s="528"/>
      <c r="M24" s="528">
        <f>35086976-19200</f>
        <v>35067776</v>
      </c>
      <c r="N24" s="529"/>
      <c r="O24" s="528"/>
      <c r="P24" s="528"/>
      <c r="Q24" s="528"/>
      <c r="R24" s="528">
        <v>236763266</v>
      </c>
      <c r="S24" s="526">
        <f t="shared" si="4"/>
        <v>271831042</v>
      </c>
      <c r="T24" s="528">
        <f t="shared" si="2"/>
        <v>43.037632356767716</v>
      </c>
      <c r="U24" s="511">
        <f t="shared" si="3"/>
        <v>0</v>
      </c>
    </row>
    <row r="25" spans="1:21" s="539" customFormat="1" ht="24" customHeight="1">
      <c r="A25" s="525" t="s">
        <v>446</v>
      </c>
      <c r="B25" s="445" t="s">
        <v>448</v>
      </c>
      <c r="C25" s="526">
        <f t="shared" si="5"/>
        <v>437526180</v>
      </c>
      <c r="D25" s="527">
        <v>421345804</v>
      </c>
      <c r="E25" s="528">
        <f>16167376+13000</f>
        <v>16180376</v>
      </c>
      <c r="F25" s="528">
        <v>12859</v>
      </c>
      <c r="G25" s="528"/>
      <c r="H25" s="526">
        <f t="shared" si="6"/>
        <v>437513321</v>
      </c>
      <c r="I25" s="526">
        <f t="shared" si="7"/>
        <v>437293839</v>
      </c>
      <c r="J25" s="528">
        <v>225301</v>
      </c>
      <c r="K25" s="528">
        <v>28969216</v>
      </c>
      <c r="L25" s="528"/>
      <c r="M25" s="528">
        <v>408099322</v>
      </c>
      <c r="N25" s="529"/>
      <c r="O25" s="528"/>
      <c r="P25" s="528"/>
      <c r="Q25" s="528"/>
      <c r="R25" s="528">
        <v>219482</v>
      </c>
      <c r="S25" s="526">
        <f t="shared" si="4"/>
        <v>408318804</v>
      </c>
      <c r="T25" s="528">
        <f t="shared" si="2"/>
        <v>6.6761784402821185</v>
      </c>
      <c r="U25" s="511">
        <f t="shared" si="3"/>
        <v>0</v>
      </c>
    </row>
    <row r="26" spans="1:21" s="539" customFormat="1" ht="24" customHeight="1">
      <c r="A26" s="525" t="s">
        <v>447</v>
      </c>
      <c r="B26" s="445" t="s">
        <v>450</v>
      </c>
      <c r="C26" s="526">
        <f t="shared" si="5"/>
        <v>12427469</v>
      </c>
      <c r="D26" s="527">
        <v>2517346</v>
      </c>
      <c r="E26" s="528">
        <v>9910123</v>
      </c>
      <c r="F26" s="526">
        <v>6766520</v>
      </c>
      <c r="G26" s="528"/>
      <c r="H26" s="526">
        <f t="shared" si="6"/>
        <v>5660949</v>
      </c>
      <c r="I26" s="526">
        <f t="shared" si="7"/>
        <v>5660949</v>
      </c>
      <c r="J26" s="528">
        <v>1966291</v>
      </c>
      <c r="K26" s="528"/>
      <c r="L26" s="528"/>
      <c r="M26" s="528">
        <v>3694658</v>
      </c>
      <c r="N26" s="529"/>
      <c r="O26" s="528"/>
      <c r="P26" s="528"/>
      <c r="Q26" s="528"/>
      <c r="R26" s="528"/>
      <c r="S26" s="526">
        <f t="shared" si="4"/>
        <v>3694658</v>
      </c>
      <c r="T26" s="528">
        <f t="shared" si="2"/>
        <v>34.73429984972484</v>
      </c>
      <c r="U26" s="511">
        <f t="shared" si="3"/>
        <v>0</v>
      </c>
    </row>
    <row r="27" spans="1:21" s="539" customFormat="1" ht="24" customHeight="1">
      <c r="A27" s="525" t="s">
        <v>449</v>
      </c>
      <c r="B27" s="445" t="s">
        <v>452</v>
      </c>
      <c r="C27" s="526">
        <f t="shared" si="5"/>
        <v>1804817</v>
      </c>
      <c r="D27" s="527">
        <v>421274</v>
      </c>
      <c r="E27" s="526">
        <v>1383543</v>
      </c>
      <c r="F27" s="526">
        <v>552297</v>
      </c>
      <c r="G27" s="526"/>
      <c r="H27" s="526">
        <f t="shared" si="6"/>
        <v>1252520</v>
      </c>
      <c r="I27" s="526">
        <f t="shared" si="7"/>
        <v>1227520</v>
      </c>
      <c r="J27" s="526">
        <v>285818</v>
      </c>
      <c r="K27" s="526"/>
      <c r="L27" s="529"/>
      <c r="M27" s="529">
        <v>941702</v>
      </c>
      <c r="N27" s="529"/>
      <c r="O27" s="528"/>
      <c r="P27" s="528"/>
      <c r="Q27" s="528"/>
      <c r="R27" s="528">
        <v>25000</v>
      </c>
      <c r="S27" s="526">
        <f t="shared" si="4"/>
        <v>966702</v>
      </c>
      <c r="T27" s="528">
        <f t="shared" si="2"/>
        <v>23.28418274244004</v>
      </c>
      <c r="U27" s="511">
        <f t="shared" si="3"/>
        <v>0</v>
      </c>
    </row>
    <row r="28" spans="1:21" s="539" customFormat="1" ht="24" customHeight="1">
      <c r="A28" s="525" t="s">
        <v>451</v>
      </c>
      <c r="B28" s="445" t="s">
        <v>454</v>
      </c>
      <c r="C28" s="526">
        <f t="shared" si="5"/>
        <v>5356469</v>
      </c>
      <c r="D28" s="526">
        <v>5222389</v>
      </c>
      <c r="E28" s="526">
        <v>134080</v>
      </c>
      <c r="F28" s="526">
        <v>0</v>
      </c>
      <c r="G28" s="526"/>
      <c r="H28" s="526">
        <f t="shared" si="6"/>
        <v>5356469</v>
      </c>
      <c r="I28" s="526">
        <f t="shared" si="7"/>
        <v>180405</v>
      </c>
      <c r="J28" s="526">
        <v>6580</v>
      </c>
      <c r="K28" s="526"/>
      <c r="L28" s="529"/>
      <c r="M28" s="529">
        <v>173825</v>
      </c>
      <c r="N28" s="529"/>
      <c r="O28" s="528"/>
      <c r="P28" s="528"/>
      <c r="Q28" s="528"/>
      <c r="R28" s="528">
        <v>5176064</v>
      </c>
      <c r="S28" s="526">
        <f t="shared" si="4"/>
        <v>5349889</v>
      </c>
      <c r="T28" s="528">
        <f t="shared" si="2"/>
        <v>3.6473490202599703</v>
      </c>
      <c r="U28" s="511">
        <f t="shared" si="3"/>
        <v>0</v>
      </c>
    </row>
    <row r="29" spans="1:21" s="539" customFormat="1" ht="24" customHeight="1">
      <c r="A29" s="525" t="s">
        <v>453</v>
      </c>
      <c r="B29" s="445" t="s">
        <v>544</v>
      </c>
      <c r="C29" s="526">
        <f t="shared" si="5"/>
        <v>2857718</v>
      </c>
      <c r="D29" s="530">
        <v>24200</v>
      </c>
      <c r="E29" s="526">
        <v>2833518</v>
      </c>
      <c r="F29" s="526">
        <v>0</v>
      </c>
      <c r="G29" s="526"/>
      <c r="H29" s="526">
        <f t="shared" si="6"/>
        <v>2857718</v>
      </c>
      <c r="I29" s="526">
        <f t="shared" si="7"/>
        <v>2791382</v>
      </c>
      <c r="J29" s="526">
        <v>184126</v>
      </c>
      <c r="K29" s="526">
        <v>42717</v>
      </c>
      <c r="L29" s="529"/>
      <c r="M29" s="529">
        <f>2302162+262377</f>
        <v>2564539</v>
      </c>
      <c r="N29" s="529"/>
      <c r="O29" s="528"/>
      <c r="P29" s="528"/>
      <c r="Q29" s="528"/>
      <c r="R29" s="528">
        <v>66336</v>
      </c>
      <c r="S29" s="526">
        <f t="shared" si="4"/>
        <v>2630875</v>
      </c>
      <c r="T29" s="528">
        <f t="shared" si="2"/>
        <v>8.126548068304517</v>
      </c>
      <c r="U29" s="511">
        <f t="shared" si="3"/>
        <v>0</v>
      </c>
    </row>
    <row r="30" spans="1:21" s="579" customFormat="1" ht="24" customHeight="1">
      <c r="A30" s="453" t="s">
        <v>1</v>
      </c>
      <c r="B30" s="454" t="s">
        <v>455</v>
      </c>
      <c r="C30" s="440">
        <f aca="true" t="shared" si="8" ref="C30:R30">C31+C36+C41+C44+C47+C56+C61+C68+C72+C76+C87+C90+C94+C106+C109</f>
        <v>2954159965</v>
      </c>
      <c r="D30" s="440">
        <f t="shared" si="8"/>
        <v>2407549205</v>
      </c>
      <c r="E30" s="440">
        <f t="shared" si="8"/>
        <v>546610760</v>
      </c>
      <c r="F30" s="440">
        <f t="shared" si="8"/>
        <v>8092751</v>
      </c>
      <c r="G30" s="440">
        <f t="shared" si="8"/>
        <v>20966541</v>
      </c>
      <c r="H30" s="451">
        <f>I30+R30</f>
        <v>2946067214</v>
      </c>
      <c r="I30" s="451">
        <f>SUM(J30:Q30)</f>
        <v>1741917226</v>
      </c>
      <c r="J30" s="440">
        <f t="shared" si="8"/>
        <v>124814077</v>
      </c>
      <c r="K30" s="440">
        <f t="shared" si="8"/>
        <v>88465766</v>
      </c>
      <c r="L30" s="440">
        <f t="shared" si="8"/>
        <v>34448</v>
      </c>
      <c r="M30" s="440">
        <f t="shared" si="8"/>
        <v>1475486913</v>
      </c>
      <c r="N30" s="440">
        <f t="shared" si="8"/>
        <v>20841245</v>
      </c>
      <c r="O30" s="440">
        <f t="shared" si="8"/>
        <v>16918776</v>
      </c>
      <c r="P30" s="440">
        <f t="shared" si="8"/>
        <v>0</v>
      </c>
      <c r="Q30" s="440">
        <f t="shared" si="8"/>
        <v>15356001</v>
      </c>
      <c r="R30" s="440">
        <f t="shared" si="8"/>
        <v>1204149988</v>
      </c>
      <c r="S30" s="577">
        <f t="shared" si="4"/>
        <v>2732752923</v>
      </c>
      <c r="T30" s="578">
        <f t="shared" si="2"/>
        <v>12.245948763583787</v>
      </c>
      <c r="U30" s="456">
        <f t="shared" si="3"/>
        <v>0</v>
      </c>
    </row>
    <row r="31" spans="1:21" s="579" customFormat="1" ht="24" customHeight="1">
      <c r="A31" s="453">
        <v>1</v>
      </c>
      <c r="B31" s="455" t="s">
        <v>456</v>
      </c>
      <c r="C31" s="580">
        <f>SUM(C32:C35)</f>
        <v>254113362</v>
      </c>
      <c r="D31" s="580">
        <f>SUM(D32:D35)</f>
        <v>232981768</v>
      </c>
      <c r="E31" s="580">
        <f aca="true" t="shared" si="9" ref="E31:R31">SUM(E32:E35)</f>
        <v>21131594</v>
      </c>
      <c r="F31" s="580">
        <f t="shared" si="9"/>
        <v>35550</v>
      </c>
      <c r="G31" s="580">
        <f t="shared" si="9"/>
        <v>0</v>
      </c>
      <c r="H31" s="451">
        <f>I31+R31</f>
        <v>254077812</v>
      </c>
      <c r="I31" s="451">
        <f>SUM(J31:Q31)</f>
        <v>190717661</v>
      </c>
      <c r="J31" s="580">
        <f t="shared" si="9"/>
        <v>1489143</v>
      </c>
      <c r="K31" s="580">
        <f t="shared" si="9"/>
        <v>9634210</v>
      </c>
      <c r="L31" s="580">
        <f t="shared" si="9"/>
        <v>0</v>
      </c>
      <c r="M31" s="580">
        <f t="shared" si="9"/>
        <v>178894308</v>
      </c>
      <c r="N31" s="580">
        <f t="shared" si="9"/>
        <v>700000</v>
      </c>
      <c r="O31" s="580">
        <f t="shared" si="9"/>
        <v>0</v>
      </c>
      <c r="P31" s="580">
        <f t="shared" si="9"/>
        <v>0</v>
      </c>
      <c r="Q31" s="580">
        <f t="shared" si="9"/>
        <v>0</v>
      </c>
      <c r="R31" s="580">
        <f t="shared" si="9"/>
        <v>63360151</v>
      </c>
      <c r="S31" s="577">
        <f t="shared" si="4"/>
        <v>242954459</v>
      </c>
      <c r="T31" s="578">
        <f t="shared" si="2"/>
        <v>5.83236651586242</v>
      </c>
      <c r="U31" s="456">
        <f t="shared" si="3"/>
        <v>0</v>
      </c>
    </row>
    <row r="32" spans="1:21" s="539" customFormat="1" ht="24" customHeight="1">
      <c r="A32" s="512">
        <v>1.1</v>
      </c>
      <c r="B32" s="513" t="s">
        <v>457</v>
      </c>
      <c r="C32" s="540">
        <f>SUM(D32+E32)</f>
        <v>127328903</v>
      </c>
      <c r="D32" s="538">
        <v>127217244</v>
      </c>
      <c r="E32" s="538">
        <v>111659</v>
      </c>
      <c r="F32" s="538">
        <v>30400</v>
      </c>
      <c r="G32" s="538">
        <v>0</v>
      </c>
      <c r="H32" s="540">
        <f>SUM(R32+I32)</f>
        <v>127298503</v>
      </c>
      <c r="I32" s="540">
        <f>SUM(Q32+P32+O32+N32+M32+L32+K32+J32)</f>
        <v>126912100</v>
      </c>
      <c r="J32" s="538">
        <v>57066</v>
      </c>
      <c r="K32" s="538">
        <v>2493644</v>
      </c>
      <c r="L32" s="538">
        <v>0</v>
      </c>
      <c r="M32" s="538">
        <v>124361390</v>
      </c>
      <c r="N32" s="538">
        <v>0</v>
      </c>
      <c r="O32" s="538">
        <v>0</v>
      </c>
      <c r="P32" s="538">
        <v>0</v>
      </c>
      <c r="Q32" s="538">
        <v>0</v>
      </c>
      <c r="R32" s="538">
        <v>386403</v>
      </c>
      <c r="S32" s="526">
        <f t="shared" si="4"/>
        <v>124747793</v>
      </c>
      <c r="T32" s="528">
        <f t="shared" si="2"/>
        <v>2.009824122365007</v>
      </c>
      <c r="U32" s="511">
        <f t="shared" si="3"/>
        <v>0</v>
      </c>
    </row>
    <row r="33" spans="1:21" s="539" customFormat="1" ht="24" customHeight="1">
      <c r="A33" s="512">
        <v>1.2</v>
      </c>
      <c r="B33" s="513" t="s">
        <v>545</v>
      </c>
      <c r="C33" s="540">
        <f>SUM(D33+E33)</f>
        <v>61250624</v>
      </c>
      <c r="D33" s="538">
        <v>54063246</v>
      </c>
      <c r="E33" s="538">
        <v>7187378</v>
      </c>
      <c r="F33" s="538">
        <v>0</v>
      </c>
      <c r="G33" s="538"/>
      <c r="H33" s="540">
        <f>SUM(R33+I33)</f>
        <v>61250624</v>
      </c>
      <c r="I33" s="540">
        <f>SUM(Q33+P33+O33+N33+M33+L33+K33+J33)</f>
        <v>19891430</v>
      </c>
      <c r="J33" s="538">
        <v>880933</v>
      </c>
      <c r="K33" s="538">
        <v>2853075</v>
      </c>
      <c r="L33" s="538"/>
      <c r="M33" s="538">
        <v>16157422</v>
      </c>
      <c r="N33" s="538">
        <v>0</v>
      </c>
      <c r="O33" s="538"/>
      <c r="P33" s="538"/>
      <c r="Q33" s="538">
        <v>0</v>
      </c>
      <c r="R33" s="538">
        <v>41359194</v>
      </c>
      <c r="S33" s="526">
        <f t="shared" si="4"/>
        <v>57516616</v>
      </c>
      <c r="T33" s="528">
        <f t="shared" si="2"/>
        <v>18.77194349526404</v>
      </c>
      <c r="U33" s="511">
        <f t="shared" si="3"/>
        <v>0</v>
      </c>
    </row>
    <row r="34" spans="1:21" s="539" customFormat="1" ht="24" customHeight="1">
      <c r="A34" s="512">
        <v>1.3</v>
      </c>
      <c r="B34" s="513" t="s">
        <v>458</v>
      </c>
      <c r="C34" s="540">
        <f>SUM(D34+E34)</f>
        <v>49092739</v>
      </c>
      <c r="D34" s="538">
        <v>39341858</v>
      </c>
      <c r="E34" s="538">
        <v>9750881</v>
      </c>
      <c r="F34" s="538">
        <v>0</v>
      </c>
      <c r="G34" s="538"/>
      <c r="H34" s="540">
        <f>SUM(R34+I34)</f>
        <v>49092739</v>
      </c>
      <c r="I34" s="540">
        <f>SUM(Q34+P34+O34+N34+M34+L34+K34+J34)</f>
        <v>36564672</v>
      </c>
      <c r="J34" s="538">
        <v>450115</v>
      </c>
      <c r="K34" s="538">
        <v>4275041</v>
      </c>
      <c r="L34" s="538"/>
      <c r="M34" s="538">
        <v>31139516</v>
      </c>
      <c r="N34" s="538">
        <v>700000</v>
      </c>
      <c r="O34" s="538"/>
      <c r="P34" s="538"/>
      <c r="Q34" s="538"/>
      <c r="R34" s="538">
        <v>12528067</v>
      </c>
      <c r="S34" s="526">
        <f t="shared" si="4"/>
        <v>44367583</v>
      </c>
      <c r="T34" s="528">
        <f t="shared" si="2"/>
        <v>12.92273591295992</v>
      </c>
      <c r="U34" s="511">
        <f t="shared" si="3"/>
        <v>0</v>
      </c>
    </row>
    <row r="35" spans="1:21" s="539" customFormat="1" ht="24" customHeight="1">
      <c r="A35" s="512">
        <v>1.4</v>
      </c>
      <c r="B35" s="513" t="s">
        <v>546</v>
      </c>
      <c r="C35" s="540">
        <f>SUM(D35+E35)</f>
        <v>16441096</v>
      </c>
      <c r="D35" s="538">
        <v>12359420</v>
      </c>
      <c r="E35" s="538">
        <v>4081676</v>
      </c>
      <c r="F35" s="538">
        <v>5150</v>
      </c>
      <c r="G35" s="538"/>
      <c r="H35" s="540">
        <f>SUM(R35+I35)</f>
        <v>16435946</v>
      </c>
      <c r="I35" s="540">
        <f>SUM(Q35+P35+O35+N35+M35+L35+K35+J35)</f>
        <v>7349459</v>
      </c>
      <c r="J35" s="538">
        <v>101029</v>
      </c>
      <c r="K35" s="538">
        <v>12450</v>
      </c>
      <c r="L35" s="538"/>
      <c r="M35" s="538">
        <v>7235980</v>
      </c>
      <c r="N35" s="538">
        <v>0</v>
      </c>
      <c r="O35" s="538"/>
      <c r="P35" s="538"/>
      <c r="Q35" s="538"/>
      <c r="R35" s="538">
        <v>9086487</v>
      </c>
      <c r="S35" s="526">
        <f t="shared" si="4"/>
        <v>16322467</v>
      </c>
      <c r="T35" s="528">
        <f t="shared" si="2"/>
        <v>1.5440456229499342</v>
      </c>
      <c r="U35" s="511">
        <f t="shared" si="3"/>
        <v>0</v>
      </c>
    </row>
    <row r="36" spans="1:21" s="579" customFormat="1" ht="24" customHeight="1">
      <c r="A36" s="453">
        <v>2</v>
      </c>
      <c r="B36" s="455" t="s">
        <v>459</v>
      </c>
      <c r="C36" s="440">
        <f>C37+C38+C39+C40</f>
        <v>63365479</v>
      </c>
      <c r="D36" s="440">
        <f>D37+D38+D39+D40</f>
        <v>62577302</v>
      </c>
      <c r="E36" s="440">
        <f aca="true" t="shared" si="10" ref="E36:R36">E37+E38+E39+E40</f>
        <v>788177</v>
      </c>
      <c r="F36" s="440">
        <f t="shared" si="10"/>
        <v>50488</v>
      </c>
      <c r="G36" s="440">
        <f t="shared" si="10"/>
        <v>0</v>
      </c>
      <c r="H36" s="451">
        <f aca="true" t="shared" si="11" ref="H36:H47">I36+R36</f>
        <v>63314991</v>
      </c>
      <c r="I36" s="451">
        <f>SUM(J36:Q36)</f>
        <v>58369553</v>
      </c>
      <c r="J36" s="440">
        <f t="shared" si="10"/>
        <v>1193284</v>
      </c>
      <c r="K36" s="440">
        <f t="shared" si="10"/>
        <v>13037</v>
      </c>
      <c r="L36" s="440">
        <f t="shared" si="10"/>
        <v>7392</v>
      </c>
      <c r="M36" s="440">
        <f t="shared" si="10"/>
        <v>57155840</v>
      </c>
      <c r="N36" s="440">
        <f t="shared" si="10"/>
        <v>0</v>
      </c>
      <c r="O36" s="440">
        <f t="shared" si="10"/>
        <v>0</v>
      </c>
      <c r="P36" s="440">
        <f t="shared" si="10"/>
        <v>0</v>
      </c>
      <c r="Q36" s="440">
        <f t="shared" si="10"/>
        <v>0</v>
      </c>
      <c r="R36" s="440">
        <f t="shared" si="10"/>
        <v>4945438</v>
      </c>
      <c r="S36" s="577">
        <f t="shared" si="4"/>
        <v>62101278</v>
      </c>
      <c r="T36" s="578">
        <f t="shared" si="2"/>
        <v>2.079359764841783</v>
      </c>
      <c r="U36" s="456">
        <f t="shared" si="3"/>
        <v>0</v>
      </c>
    </row>
    <row r="37" spans="1:21" s="539" customFormat="1" ht="24" customHeight="1">
      <c r="A37" s="512">
        <v>2.1</v>
      </c>
      <c r="B37" s="514" t="s">
        <v>460</v>
      </c>
      <c r="C37" s="541">
        <f>D37+E37</f>
        <v>530095</v>
      </c>
      <c r="D37" s="541">
        <v>458358</v>
      </c>
      <c r="E37" s="541">
        <v>71737</v>
      </c>
      <c r="F37" s="541">
        <v>932</v>
      </c>
      <c r="G37" s="541"/>
      <c r="H37" s="541">
        <f t="shared" si="11"/>
        <v>529163</v>
      </c>
      <c r="I37" s="541">
        <f>J37+K37+L37+M37+N37+O37+P37+Q37</f>
        <v>293782</v>
      </c>
      <c r="J37" s="541">
        <v>87336</v>
      </c>
      <c r="K37" s="541">
        <v>880</v>
      </c>
      <c r="L37" s="541">
        <v>0</v>
      </c>
      <c r="M37" s="541">
        <v>205566</v>
      </c>
      <c r="N37" s="541"/>
      <c r="O37" s="541"/>
      <c r="P37" s="541"/>
      <c r="Q37" s="542"/>
      <c r="R37" s="543">
        <v>235381</v>
      </c>
      <c r="S37" s="526">
        <f t="shared" si="4"/>
        <v>440947</v>
      </c>
      <c r="T37" s="528">
        <f t="shared" si="2"/>
        <v>30.027707619935875</v>
      </c>
      <c r="U37" s="511">
        <f t="shared" si="3"/>
        <v>0</v>
      </c>
    </row>
    <row r="38" spans="1:21" s="539" customFormat="1" ht="24" customHeight="1">
      <c r="A38" s="512">
        <v>2.2</v>
      </c>
      <c r="B38" s="514" t="s">
        <v>461</v>
      </c>
      <c r="C38" s="541">
        <f>D38+E38</f>
        <v>11079228</v>
      </c>
      <c r="D38" s="541">
        <v>10761213</v>
      </c>
      <c r="E38" s="541">
        <v>318015</v>
      </c>
      <c r="F38" s="541">
        <v>49556</v>
      </c>
      <c r="G38" s="541"/>
      <c r="H38" s="541">
        <f t="shared" si="11"/>
        <v>11029672</v>
      </c>
      <c r="I38" s="541">
        <f>J38+K38+L38+M38+N38+O38+P38+Q38</f>
        <v>9962011</v>
      </c>
      <c r="J38" s="541">
        <v>626082</v>
      </c>
      <c r="K38" s="541">
        <v>0</v>
      </c>
      <c r="L38" s="541">
        <v>1692</v>
      </c>
      <c r="M38" s="541">
        <v>9334237</v>
      </c>
      <c r="N38" s="541"/>
      <c r="O38" s="541"/>
      <c r="P38" s="541"/>
      <c r="Q38" s="542">
        <v>0</v>
      </c>
      <c r="R38" s="543">
        <v>1067661</v>
      </c>
      <c r="S38" s="526">
        <f t="shared" si="4"/>
        <v>10401898</v>
      </c>
      <c r="T38" s="528">
        <f t="shared" si="2"/>
        <v>6.301679450062844</v>
      </c>
      <c r="U38" s="511">
        <f t="shared" si="3"/>
        <v>0</v>
      </c>
    </row>
    <row r="39" spans="1:21" s="539" customFormat="1" ht="24" customHeight="1">
      <c r="A39" s="512">
        <v>2.3</v>
      </c>
      <c r="B39" s="514" t="s">
        <v>462</v>
      </c>
      <c r="C39" s="541">
        <f>D39+E39</f>
        <v>51756156</v>
      </c>
      <c r="D39" s="541">
        <v>51357731</v>
      </c>
      <c r="E39" s="541">
        <v>398425</v>
      </c>
      <c r="F39" s="541"/>
      <c r="G39" s="541"/>
      <c r="H39" s="541">
        <f t="shared" si="11"/>
        <v>51756156</v>
      </c>
      <c r="I39" s="541">
        <f>J39+K39+L39+M39+N39+O39+P39+Q39</f>
        <v>48113760</v>
      </c>
      <c r="J39" s="541">
        <v>479866</v>
      </c>
      <c r="K39" s="541">
        <v>12157</v>
      </c>
      <c r="L39" s="541">
        <v>5700</v>
      </c>
      <c r="M39" s="541">
        <v>47616037</v>
      </c>
      <c r="N39" s="541"/>
      <c r="O39" s="541"/>
      <c r="P39" s="541"/>
      <c r="Q39" s="542">
        <v>0</v>
      </c>
      <c r="R39" s="543">
        <v>3642396</v>
      </c>
      <c r="S39" s="526">
        <f t="shared" si="4"/>
        <v>51258433</v>
      </c>
      <c r="T39" s="528">
        <f t="shared" si="2"/>
        <v>1.0344712198755615</v>
      </c>
      <c r="U39" s="511">
        <f t="shared" si="3"/>
        <v>0</v>
      </c>
    </row>
    <row r="40" spans="1:21" s="539" customFormat="1" ht="24" customHeight="1">
      <c r="A40" s="512">
        <v>2.4</v>
      </c>
      <c r="B40" s="514" t="s">
        <v>463</v>
      </c>
      <c r="C40" s="541">
        <v>0</v>
      </c>
      <c r="D40" s="541">
        <v>0</v>
      </c>
      <c r="E40" s="541">
        <v>0</v>
      </c>
      <c r="F40" s="541">
        <v>0</v>
      </c>
      <c r="G40" s="541"/>
      <c r="H40" s="541">
        <f t="shared" si="11"/>
        <v>0</v>
      </c>
      <c r="I40" s="541">
        <f>J40+K40+L40+M40+N40+O40+P40+Q40</f>
        <v>0</v>
      </c>
      <c r="J40" s="541">
        <v>0</v>
      </c>
      <c r="K40" s="541">
        <v>0</v>
      </c>
      <c r="L40" s="541"/>
      <c r="M40" s="541">
        <v>0</v>
      </c>
      <c r="N40" s="541"/>
      <c r="O40" s="541"/>
      <c r="P40" s="541"/>
      <c r="Q40" s="542"/>
      <c r="R40" s="543">
        <v>0</v>
      </c>
      <c r="S40" s="526">
        <f t="shared" si="4"/>
        <v>0</v>
      </c>
      <c r="T40" s="528" t="e">
        <f t="shared" si="2"/>
        <v>#DIV/0!</v>
      </c>
      <c r="U40" s="511">
        <f t="shared" si="3"/>
        <v>0</v>
      </c>
    </row>
    <row r="41" spans="1:21" s="579" customFormat="1" ht="24" customHeight="1">
      <c r="A41" s="453">
        <v>3</v>
      </c>
      <c r="B41" s="455" t="s">
        <v>464</v>
      </c>
      <c r="C41" s="581">
        <f>C42+C43</f>
        <v>32575732</v>
      </c>
      <c r="D41" s="581">
        <f aca="true" t="shared" si="12" ref="D41:R41">D42+D43</f>
        <v>30730101</v>
      </c>
      <c r="E41" s="581">
        <f t="shared" si="12"/>
        <v>1845631</v>
      </c>
      <c r="F41" s="581">
        <f t="shared" si="12"/>
        <v>400</v>
      </c>
      <c r="G41" s="581">
        <f t="shared" si="12"/>
        <v>0</v>
      </c>
      <c r="H41" s="451">
        <f t="shared" si="11"/>
        <v>32575332</v>
      </c>
      <c r="I41" s="451">
        <f>SUM(J41:Q41)</f>
        <v>30857254</v>
      </c>
      <c r="J41" s="581">
        <f t="shared" si="12"/>
        <v>527315</v>
      </c>
      <c r="K41" s="581">
        <f t="shared" si="12"/>
        <v>9669503</v>
      </c>
      <c r="L41" s="581">
        <f t="shared" si="12"/>
        <v>0</v>
      </c>
      <c r="M41" s="581">
        <f t="shared" si="12"/>
        <v>20587324</v>
      </c>
      <c r="N41" s="581">
        <f t="shared" si="12"/>
        <v>0</v>
      </c>
      <c r="O41" s="581">
        <f t="shared" si="12"/>
        <v>0</v>
      </c>
      <c r="P41" s="581">
        <f t="shared" si="12"/>
        <v>0</v>
      </c>
      <c r="Q41" s="581">
        <f t="shared" si="12"/>
        <v>73112</v>
      </c>
      <c r="R41" s="581">
        <f t="shared" si="12"/>
        <v>1718078</v>
      </c>
      <c r="S41" s="577">
        <f t="shared" si="4"/>
        <v>22378514</v>
      </c>
      <c r="T41" s="578">
        <f t="shared" si="2"/>
        <v>33.04512449487566</v>
      </c>
      <c r="U41" s="456">
        <f t="shared" si="3"/>
        <v>0</v>
      </c>
    </row>
    <row r="42" spans="1:21" s="539" customFormat="1" ht="24" customHeight="1">
      <c r="A42" s="512">
        <v>3.1</v>
      </c>
      <c r="B42" s="515" t="s">
        <v>465</v>
      </c>
      <c r="C42" s="544">
        <f>D42+E42</f>
        <v>23242699</v>
      </c>
      <c r="D42" s="544">
        <v>22511435</v>
      </c>
      <c r="E42" s="544">
        <v>731264</v>
      </c>
      <c r="F42" s="544">
        <v>400</v>
      </c>
      <c r="G42" s="544"/>
      <c r="H42" s="544">
        <f t="shared" si="11"/>
        <v>23242299</v>
      </c>
      <c r="I42" s="544">
        <f>J42+K42+L42+M42+N42+O42+P42+Q42</f>
        <v>22985831</v>
      </c>
      <c r="J42" s="544">
        <v>57965</v>
      </c>
      <c r="K42" s="544">
        <v>9667753</v>
      </c>
      <c r="L42" s="544"/>
      <c r="M42" s="544">
        <v>13187001</v>
      </c>
      <c r="N42" s="544"/>
      <c r="O42" s="544">
        <v>0</v>
      </c>
      <c r="P42" s="544"/>
      <c r="Q42" s="544">
        <v>73112</v>
      </c>
      <c r="R42" s="545">
        <v>256468</v>
      </c>
      <c r="S42" s="526">
        <f t="shared" si="4"/>
        <v>13516581</v>
      </c>
      <c r="T42" s="528">
        <f t="shared" si="2"/>
        <v>42.311796340971966</v>
      </c>
      <c r="U42" s="511">
        <f t="shared" si="3"/>
        <v>0</v>
      </c>
    </row>
    <row r="43" spans="1:21" s="539" customFormat="1" ht="24" customHeight="1">
      <c r="A43" s="512">
        <v>3.2</v>
      </c>
      <c r="B43" s="515" t="s">
        <v>466</v>
      </c>
      <c r="C43" s="544">
        <f>D43+E43</f>
        <v>9333033</v>
      </c>
      <c r="D43" s="544">
        <v>8218666</v>
      </c>
      <c r="E43" s="544">
        <v>1114367</v>
      </c>
      <c r="F43" s="544">
        <v>0</v>
      </c>
      <c r="G43" s="544"/>
      <c r="H43" s="544">
        <f t="shared" si="11"/>
        <v>9333033</v>
      </c>
      <c r="I43" s="544">
        <f>J43+K43+L43+M43+N43+O43+P43+Q43</f>
        <v>7871423</v>
      </c>
      <c r="J43" s="544">
        <v>469350</v>
      </c>
      <c r="K43" s="544">
        <v>1750</v>
      </c>
      <c r="L43" s="544"/>
      <c r="M43" s="544">
        <v>7400323</v>
      </c>
      <c r="N43" s="544"/>
      <c r="O43" s="544"/>
      <c r="P43" s="544"/>
      <c r="Q43" s="544"/>
      <c r="R43" s="545">
        <v>1461610</v>
      </c>
      <c r="S43" s="526">
        <f t="shared" si="4"/>
        <v>8861933</v>
      </c>
      <c r="T43" s="528">
        <f t="shared" si="2"/>
        <v>5.984940715293791</v>
      </c>
      <c r="U43" s="511">
        <f t="shared" si="3"/>
        <v>0</v>
      </c>
    </row>
    <row r="44" spans="1:21" s="579" customFormat="1" ht="24" customHeight="1">
      <c r="A44" s="453">
        <v>4</v>
      </c>
      <c r="B44" s="455" t="s">
        <v>467</v>
      </c>
      <c r="C44" s="440"/>
      <c r="D44" s="440"/>
      <c r="E44" s="440"/>
      <c r="F44" s="440"/>
      <c r="G44" s="440"/>
      <c r="H44" s="451">
        <f t="shared" si="11"/>
        <v>0</v>
      </c>
      <c r="I44" s="451">
        <f>SUM(J44:Q44)</f>
        <v>0</v>
      </c>
      <c r="J44" s="440"/>
      <c r="K44" s="440"/>
      <c r="L44" s="440"/>
      <c r="M44" s="440"/>
      <c r="N44" s="440"/>
      <c r="O44" s="440"/>
      <c r="P44" s="440"/>
      <c r="Q44" s="440"/>
      <c r="R44" s="440"/>
      <c r="S44" s="577">
        <f t="shared" si="4"/>
        <v>0</v>
      </c>
      <c r="T44" s="578" t="e">
        <f t="shared" si="2"/>
        <v>#DIV/0!</v>
      </c>
      <c r="U44" s="456">
        <f t="shared" si="3"/>
        <v>0</v>
      </c>
    </row>
    <row r="45" spans="1:21" s="539" customFormat="1" ht="24" customHeight="1">
      <c r="A45" s="512">
        <v>1</v>
      </c>
      <c r="B45" s="516" t="s">
        <v>468</v>
      </c>
      <c r="C45" s="518"/>
      <c r="D45" s="518"/>
      <c r="E45" s="518"/>
      <c r="F45" s="518"/>
      <c r="G45" s="518"/>
      <c r="H45" s="446">
        <f t="shared" si="11"/>
        <v>0</v>
      </c>
      <c r="I45" s="446">
        <f>SUM(J45:Q45)</f>
        <v>0</v>
      </c>
      <c r="J45" s="518"/>
      <c r="K45" s="518"/>
      <c r="L45" s="532"/>
      <c r="M45" s="532"/>
      <c r="N45" s="532"/>
      <c r="O45" s="520"/>
      <c r="P45" s="520"/>
      <c r="Q45" s="520"/>
      <c r="R45" s="520"/>
      <c r="S45" s="526">
        <f t="shared" si="4"/>
        <v>0</v>
      </c>
      <c r="T45" s="528" t="e">
        <f t="shared" si="2"/>
        <v>#DIV/0!</v>
      </c>
      <c r="U45" s="511">
        <f t="shared" si="3"/>
        <v>0</v>
      </c>
    </row>
    <row r="46" spans="1:21" s="539" customFormat="1" ht="24" customHeight="1">
      <c r="A46" s="512">
        <v>2</v>
      </c>
      <c r="B46" s="516" t="s">
        <v>469</v>
      </c>
      <c r="C46" s="518"/>
      <c r="D46" s="518"/>
      <c r="E46" s="518"/>
      <c r="F46" s="518"/>
      <c r="G46" s="518"/>
      <c r="H46" s="446">
        <f t="shared" si="11"/>
        <v>0</v>
      </c>
      <c r="I46" s="446">
        <f>SUM(J46:Q46)</f>
        <v>0</v>
      </c>
      <c r="J46" s="518"/>
      <c r="K46" s="518"/>
      <c r="L46" s="532"/>
      <c r="M46" s="532"/>
      <c r="N46" s="532"/>
      <c r="O46" s="520"/>
      <c r="P46" s="520"/>
      <c r="Q46" s="520"/>
      <c r="R46" s="520"/>
      <c r="S46" s="526">
        <f t="shared" si="4"/>
        <v>0</v>
      </c>
      <c r="T46" s="528" t="e">
        <f t="shared" si="2"/>
        <v>#DIV/0!</v>
      </c>
      <c r="U46" s="511">
        <f t="shared" si="3"/>
        <v>0</v>
      </c>
    </row>
    <row r="47" spans="1:21" s="579" customFormat="1" ht="24" customHeight="1">
      <c r="A47" s="453">
        <v>5</v>
      </c>
      <c r="B47" s="455" t="s">
        <v>470</v>
      </c>
      <c r="C47" s="582">
        <f aca="true" t="shared" si="13" ref="C47:R47">SUM(C48:C55)</f>
        <v>462954482</v>
      </c>
      <c r="D47" s="582">
        <f t="shared" si="13"/>
        <v>420361581</v>
      </c>
      <c r="E47" s="582">
        <f t="shared" si="13"/>
        <v>42592901</v>
      </c>
      <c r="F47" s="582">
        <f t="shared" si="13"/>
        <v>63595</v>
      </c>
      <c r="G47" s="582">
        <f t="shared" si="13"/>
        <v>0</v>
      </c>
      <c r="H47" s="451">
        <f t="shared" si="11"/>
        <v>462890887</v>
      </c>
      <c r="I47" s="451">
        <f>SUM(J47:Q47)</f>
        <v>200513599</v>
      </c>
      <c r="J47" s="582">
        <f t="shared" si="13"/>
        <v>8547875</v>
      </c>
      <c r="K47" s="582">
        <f t="shared" si="13"/>
        <v>2048139</v>
      </c>
      <c r="L47" s="582">
        <f t="shared" si="13"/>
        <v>0</v>
      </c>
      <c r="M47" s="582">
        <f t="shared" si="13"/>
        <v>189385046</v>
      </c>
      <c r="N47" s="582">
        <f t="shared" si="13"/>
        <v>0</v>
      </c>
      <c r="O47" s="582">
        <f t="shared" si="13"/>
        <v>0</v>
      </c>
      <c r="P47" s="582">
        <f t="shared" si="13"/>
        <v>0</v>
      </c>
      <c r="Q47" s="582">
        <f t="shared" si="13"/>
        <v>532539</v>
      </c>
      <c r="R47" s="582">
        <f t="shared" si="13"/>
        <v>262377288</v>
      </c>
      <c r="S47" s="577">
        <f t="shared" si="4"/>
        <v>452294873</v>
      </c>
      <c r="T47" s="578">
        <f t="shared" si="2"/>
        <v>5.284436593250716</v>
      </c>
      <c r="U47" s="456">
        <f t="shared" si="3"/>
        <v>0</v>
      </c>
    </row>
    <row r="48" spans="1:21" s="539" customFormat="1" ht="24" customHeight="1">
      <c r="A48" s="517" t="s">
        <v>111</v>
      </c>
      <c r="B48" s="533" t="s">
        <v>471</v>
      </c>
      <c r="C48" s="535">
        <f>D48+E48</f>
        <v>6682626</v>
      </c>
      <c r="D48" s="534">
        <v>4768730</v>
      </c>
      <c r="E48" s="535">
        <f>1860000+53896</f>
        <v>1913896</v>
      </c>
      <c r="F48" s="535">
        <v>0</v>
      </c>
      <c r="G48" s="535">
        <v>0</v>
      </c>
      <c r="H48" s="535">
        <f>C48-F48</f>
        <v>6682626</v>
      </c>
      <c r="I48" s="535">
        <f aca="true" t="shared" si="14" ref="I48:I54">J48+K48+L48+M48+N48+O48+P48+Q48</f>
        <v>3582143</v>
      </c>
      <c r="J48" s="535">
        <v>35129</v>
      </c>
      <c r="K48" s="535">
        <v>0</v>
      </c>
      <c r="L48" s="535">
        <v>0</v>
      </c>
      <c r="M48" s="546">
        <v>3547014</v>
      </c>
      <c r="N48" s="535">
        <v>0</v>
      </c>
      <c r="O48" s="535">
        <v>0</v>
      </c>
      <c r="P48" s="535">
        <v>0</v>
      </c>
      <c r="Q48" s="536">
        <v>0</v>
      </c>
      <c r="R48" s="536">
        <f>H48-I48</f>
        <v>3100483</v>
      </c>
      <c r="S48" s="526">
        <f t="shared" si="4"/>
        <v>6647497</v>
      </c>
      <c r="T48" s="528">
        <f t="shared" si="2"/>
        <v>0.9806699509204406</v>
      </c>
      <c r="U48" s="511">
        <f t="shared" si="3"/>
        <v>0</v>
      </c>
    </row>
    <row r="49" spans="1:21" s="539" customFormat="1" ht="24" customHeight="1">
      <c r="A49" s="517" t="s">
        <v>112</v>
      </c>
      <c r="B49" s="533" t="s">
        <v>472</v>
      </c>
      <c r="C49" s="535">
        <f aca="true" t="shared" si="15" ref="C49:C54">D49+E49</f>
        <v>290668714</v>
      </c>
      <c r="D49" s="534">
        <v>288298924</v>
      </c>
      <c r="E49" s="535">
        <f>2367990+1800</f>
        <v>2369790</v>
      </c>
      <c r="F49" s="535">
        <v>0</v>
      </c>
      <c r="G49" s="535">
        <v>0</v>
      </c>
      <c r="H49" s="535">
        <f aca="true" t="shared" si="16" ref="H49:H54">C49-F49</f>
        <v>290668714</v>
      </c>
      <c r="I49" s="535">
        <f t="shared" si="14"/>
        <v>60032625</v>
      </c>
      <c r="J49" s="535">
        <v>3017295</v>
      </c>
      <c r="K49" s="535">
        <v>1998269</v>
      </c>
      <c r="L49" s="535">
        <v>0</v>
      </c>
      <c r="M49" s="546">
        <f>54482722+1800</f>
        <v>54484522</v>
      </c>
      <c r="N49" s="535">
        <v>0</v>
      </c>
      <c r="O49" s="535">
        <v>0</v>
      </c>
      <c r="P49" s="535">
        <v>0</v>
      </c>
      <c r="Q49" s="536">
        <v>532539</v>
      </c>
      <c r="R49" s="536">
        <f aca="true" t="shared" si="17" ref="R49:R54">H49-I49</f>
        <v>230636089</v>
      </c>
      <c r="S49" s="526">
        <f t="shared" si="4"/>
        <v>285653150</v>
      </c>
      <c r="T49" s="528">
        <f t="shared" si="2"/>
        <v>8.354730448651878</v>
      </c>
      <c r="U49" s="511">
        <f t="shared" si="3"/>
        <v>0</v>
      </c>
    </row>
    <row r="50" spans="1:21" s="539" customFormat="1" ht="24" customHeight="1">
      <c r="A50" s="517" t="s">
        <v>113</v>
      </c>
      <c r="B50" s="533" t="s">
        <v>580</v>
      </c>
      <c r="C50" s="535">
        <f t="shared" si="15"/>
        <v>44175692</v>
      </c>
      <c r="D50" s="534">
        <v>14045786</v>
      </c>
      <c r="E50" s="535">
        <v>30129906</v>
      </c>
      <c r="F50" s="535">
        <v>13645</v>
      </c>
      <c r="G50" s="535">
        <v>0</v>
      </c>
      <c r="H50" s="535">
        <f t="shared" si="16"/>
        <v>44162047</v>
      </c>
      <c r="I50" s="535">
        <f t="shared" si="14"/>
        <v>42554510</v>
      </c>
      <c r="J50" s="535">
        <v>46913</v>
      </c>
      <c r="K50" s="535">
        <v>2000</v>
      </c>
      <c r="L50" s="535">
        <v>0</v>
      </c>
      <c r="M50" s="546">
        <v>42505597</v>
      </c>
      <c r="N50" s="535">
        <v>0</v>
      </c>
      <c r="O50" s="535">
        <v>0</v>
      </c>
      <c r="P50" s="535">
        <v>0</v>
      </c>
      <c r="Q50" s="536">
        <v>0</v>
      </c>
      <c r="R50" s="536">
        <f t="shared" si="17"/>
        <v>1607537</v>
      </c>
      <c r="S50" s="526">
        <f t="shared" si="4"/>
        <v>44113134</v>
      </c>
      <c r="T50" s="528">
        <f t="shared" si="2"/>
        <v>0.11494198852248563</v>
      </c>
      <c r="U50" s="511">
        <f t="shared" si="3"/>
        <v>0</v>
      </c>
    </row>
    <row r="51" spans="1:21" s="539" customFormat="1" ht="24" customHeight="1">
      <c r="A51" s="517" t="s">
        <v>474</v>
      </c>
      <c r="B51" s="533" t="s">
        <v>475</v>
      </c>
      <c r="C51" s="535">
        <f t="shared" si="15"/>
        <v>18850050</v>
      </c>
      <c r="D51" s="534">
        <v>16214323</v>
      </c>
      <c r="E51" s="535">
        <v>2635727</v>
      </c>
      <c r="F51" s="535">
        <v>12535</v>
      </c>
      <c r="G51" s="535">
        <v>0</v>
      </c>
      <c r="H51" s="535">
        <f t="shared" si="16"/>
        <v>18837515</v>
      </c>
      <c r="I51" s="535">
        <f t="shared" si="14"/>
        <v>8295194</v>
      </c>
      <c r="J51" s="535">
        <v>4556354</v>
      </c>
      <c r="K51" s="535">
        <v>24000</v>
      </c>
      <c r="L51" s="535">
        <v>0</v>
      </c>
      <c r="M51" s="546">
        <v>3714840</v>
      </c>
      <c r="N51" s="535">
        <v>0</v>
      </c>
      <c r="O51" s="535">
        <v>0</v>
      </c>
      <c r="P51" s="535">
        <v>0</v>
      </c>
      <c r="Q51" s="536">
        <v>0</v>
      </c>
      <c r="R51" s="536">
        <f t="shared" si="17"/>
        <v>10542321</v>
      </c>
      <c r="S51" s="526">
        <f t="shared" si="4"/>
        <v>14257161</v>
      </c>
      <c r="T51" s="528">
        <f t="shared" si="2"/>
        <v>55.216960567769725</v>
      </c>
      <c r="U51" s="511">
        <f t="shared" si="3"/>
        <v>0</v>
      </c>
    </row>
    <row r="52" spans="1:21" s="539" customFormat="1" ht="24" customHeight="1">
      <c r="A52" s="517" t="s">
        <v>476</v>
      </c>
      <c r="B52" s="533" t="s">
        <v>477</v>
      </c>
      <c r="C52" s="535">
        <f t="shared" si="15"/>
        <v>38257756</v>
      </c>
      <c r="D52" s="534">
        <v>37827593</v>
      </c>
      <c r="E52" s="535">
        <v>430163</v>
      </c>
      <c r="F52" s="535">
        <v>0</v>
      </c>
      <c r="G52" s="535">
        <v>0</v>
      </c>
      <c r="H52" s="535">
        <f t="shared" si="16"/>
        <v>38257756</v>
      </c>
      <c r="I52" s="535">
        <f t="shared" si="14"/>
        <v>34735743</v>
      </c>
      <c r="J52" s="535">
        <v>16169</v>
      </c>
      <c r="K52" s="535">
        <v>0</v>
      </c>
      <c r="L52" s="535">
        <v>0</v>
      </c>
      <c r="M52" s="546">
        <v>34719574</v>
      </c>
      <c r="N52" s="535">
        <v>0</v>
      </c>
      <c r="O52" s="535">
        <v>0</v>
      </c>
      <c r="P52" s="535">
        <v>0</v>
      </c>
      <c r="Q52" s="536">
        <v>0</v>
      </c>
      <c r="R52" s="536">
        <f t="shared" si="17"/>
        <v>3522013</v>
      </c>
      <c r="S52" s="526">
        <f t="shared" si="4"/>
        <v>38241587</v>
      </c>
      <c r="T52" s="528">
        <f t="shared" si="2"/>
        <v>0.04654859405195392</v>
      </c>
      <c r="U52" s="511">
        <f t="shared" si="3"/>
        <v>0</v>
      </c>
    </row>
    <row r="53" spans="1:21" s="539" customFormat="1" ht="24" customHeight="1">
      <c r="A53" s="517" t="s">
        <v>478</v>
      </c>
      <c r="B53" s="533" t="s">
        <v>479</v>
      </c>
      <c r="C53" s="535">
        <f t="shared" si="15"/>
        <v>31043346</v>
      </c>
      <c r="D53" s="534">
        <v>26340654</v>
      </c>
      <c r="E53" s="535">
        <f>4635057+67635</f>
        <v>4702692</v>
      </c>
      <c r="F53" s="535">
        <v>37415</v>
      </c>
      <c r="G53" s="535">
        <v>0</v>
      </c>
      <c r="H53" s="535">
        <f t="shared" si="16"/>
        <v>31005931</v>
      </c>
      <c r="I53" s="535">
        <f t="shared" si="14"/>
        <v>20857157</v>
      </c>
      <c r="J53" s="535">
        <v>24200</v>
      </c>
      <c r="K53" s="535">
        <v>23870</v>
      </c>
      <c r="L53" s="535">
        <v>0</v>
      </c>
      <c r="M53" s="546">
        <f>20741452+67635</f>
        <v>20809087</v>
      </c>
      <c r="N53" s="535">
        <v>0</v>
      </c>
      <c r="O53" s="535">
        <v>0</v>
      </c>
      <c r="P53" s="535">
        <v>0</v>
      </c>
      <c r="Q53" s="536">
        <v>0</v>
      </c>
      <c r="R53" s="536">
        <f t="shared" si="17"/>
        <v>10148774</v>
      </c>
      <c r="S53" s="526">
        <f t="shared" si="4"/>
        <v>30957861</v>
      </c>
      <c r="T53" s="528">
        <f t="shared" si="2"/>
        <v>0.2304724464604644</v>
      </c>
      <c r="U53" s="511">
        <f t="shared" si="3"/>
        <v>0</v>
      </c>
    </row>
    <row r="54" spans="1:21" s="539" customFormat="1" ht="24" customHeight="1">
      <c r="A54" s="517" t="s">
        <v>480</v>
      </c>
      <c r="B54" s="533" t="s">
        <v>481</v>
      </c>
      <c r="C54" s="535">
        <f t="shared" si="15"/>
        <v>33276298</v>
      </c>
      <c r="D54" s="534">
        <v>32865571</v>
      </c>
      <c r="E54" s="535">
        <v>410727</v>
      </c>
      <c r="F54" s="535">
        <v>0</v>
      </c>
      <c r="G54" s="535">
        <v>0</v>
      </c>
      <c r="H54" s="535">
        <f t="shared" si="16"/>
        <v>33276298</v>
      </c>
      <c r="I54" s="535">
        <f t="shared" si="14"/>
        <v>30456227</v>
      </c>
      <c r="J54" s="535">
        <v>851815</v>
      </c>
      <c r="K54" s="535">
        <v>0</v>
      </c>
      <c r="L54" s="535">
        <v>0</v>
      </c>
      <c r="M54" s="546">
        <v>29604412</v>
      </c>
      <c r="N54" s="535">
        <v>0</v>
      </c>
      <c r="O54" s="535">
        <v>0</v>
      </c>
      <c r="P54" s="535">
        <v>0</v>
      </c>
      <c r="Q54" s="536">
        <v>0</v>
      </c>
      <c r="R54" s="536">
        <f t="shared" si="17"/>
        <v>2820071</v>
      </c>
      <c r="S54" s="526">
        <f t="shared" si="4"/>
        <v>32424483</v>
      </c>
      <c r="T54" s="528">
        <f t="shared" si="2"/>
        <v>2.796850049745164</v>
      </c>
      <c r="U54" s="511">
        <f t="shared" si="3"/>
        <v>0</v>
      </c>
    </row>
    <row r="55" spans="1:21" s="539" customFormat="1" ht="24" customHeight="1">
      <c r="A55" s="517" t="s">
        <v>482</v>
      </c>
      <c r="B55" s="533" t="s">
        <v>483</v>
      </c>
      <c r="C55" s="535"/>
      <c r="D55" s="534"/>
      <c r="E55" s="535"/>
      <c r="F55" s="535"/>
      <c r="G55" s="535"/>
      <c r="H55" s="446"/>
      <c r="I55" s="446"/>
      <c r="J55" s="535"/>
      <c r="K55" s="535"/>
      <c r="L55" s="535"/>
      <c r="M55" s="546"/>
      <c r="N55" s="535"/>
      <c r="O55" s="535"/>
      <c r="P55" s="535"/>
      <c r="Q55" s="536"/>
      <c r="R55" s="536"/>
      <c r="S55" s="526">
        <f t="shared" si="4"/>
        <v>0</v>
      </c>
      <c r="T55" s="528" t="e">
        <f t="shared" si="2"/>
        <v>#DIV/0!</v>
      </c>
      <c r="U55" s="511">
        <f t="shared" si="3"/>
        <v>0</v>
      </c>
    </row>
    <row r="56" spans="1:21" s="579" customFormat="1" ht="24" customHeight="1">
      <c r="A56" s="453">
        <v>6</v>
      </c>
      <c r="B56" s="455" t="s">
        <v>484</v>
      </c>
      <c r="C56" s="583">
        <f>SUM(C57:C60)</f>
        <v>568090098</v>
      </c>
      <c r="D56" s="583">
        <f aca="true" t="shared" si="18" ref="D56:R56">SUM(D57:D60)</f>
        <v>496970370</v>
      </c>
      <c r="E56" s="583">
        <f t="shared" si="18"/>
        <v>71119728</v>
      </c>
      <c r="F56" s="583">
        <f t="shared" si="18"/>
        <v>5950</v>
      </c>
      <c r="G56" s="583">
        <f t="shared" si="18"/>
        <v>0</v>
      </c>
      <c r="H56" s="451">
        <f>I56+R56</f>
        <v>568084148</v>
      </c>
      <c r="I56" s="451">
        <f>SUM(J56:Q56)</f>
        <v>78468572</v>
      </c>
      <c r="J56" s="583">
        <f t="shared" si="18"/>
        <v>2374361</v>
      </c>
      <c r="K56" s="583">
        <f t="shared" si="18"/>
        <v>3104717</v>
      </c>
      <c r="L56" s="583">
        <f t="shared" si="18"/>
        <v>4300</v>
      </c>
      <c r="M56" s="583">
        <f t="shared" si="18"/>
        <v>43150833</v>
      </c>
      <c r="N56" s="583">
        <f t="shared" si="18"/>
        <v>19567953</v>
      </c>
      <c r="O56" s="583">
        <f t="shared" si="18"/>
        <v>0</v>
      </c>
      <c r="P56" s="583">
        <f t="shared" si="18"/>
        <v>0</v>
      </c>
      <c r="Q56" s="583">
        <f t="shared" si="18"/>
        <v>10266408</v>
      </c>
      <c r="R56" s="583">
        <f t="shared" si="18"/>
        <v>489615576</v>
      </c>
      <c r="S56" s="577">
        <f t="shared" si="4"/>
        <v>562600770</v>
      </c>
      <c r="T56" s="578">
        <f t="shared" si="2"/>
        <v>6.9879925940286</v>
      </c>
      <c r="U56" s="456">
        <f t="shared" si="3"/>
        <v>0</v>
      </c>
    </row>
    <row r="57" spans="1:21" s="539" customFormat="1" ht="24" customHeight="1">
      <c r="A57" s="512" t="s">
        <v>581</v>
      </c>
      <c r="B57" s="515" t="s">
        <v>485</v>
      </c>
      <c r="C57" s="544">
        <f>D57+E57</f>
        <v>464094118</v>
      </c>
      <c r="D57" s="544">
        <v>403997817</v>
      </c>
      <c r="E57" s="544">
        <v>60096301</v>
      </c>
      <c r="F57" s="544"/>
      <c r="G57" s="544"/>
      <c r="H57" s="544">
        <f>C57-F57-G57</f>
        <v>464094118</v>
      </c>
      <c r="I57" s="544">
        <f>J57+K57+L57+M57+N57+O57+P57+Q57</f>
        <v>48616342</v>
      </c>
      <c r="J57" s="544">
        <v>484590</v>
      </c>
      <c r="K57" s="544">
        <v>1956146</v>
      </c>
      <c r="L57" s="544"/>
      <c r="M57" s="544">
        <v>16689198</v>
      </c>
      <c r="N57" s="547">
        <v>19220000</v>
      </c>
      <c r="O57" s="547"/>
      <c r="P57" s="547"/>
      <c r="Q57" s="547">
        <v>10266408</v>
      </c>
      <c r="R57" s="547">
        <v>415477776</v>
      </c>
      <c r="S57" s="526">
        <f t="shared" si="4"/>
        <v>461653382</v>
      </c>
      <c r="T57" s="528">
        <f t="shared" si="2"/>
        <v>5.020402398847696</v>
      </c>
      <c r="U57" s="511">
        <f t="shared" si="3"/>
        <v>0</v>
      </c>
    </row>
    <row r="58" spans="1:21" s="539" customFormat="1" ht="24" customHeight="1">
      <c r="A58" s="512" t="s">
        <v>582</v>
      </c>
      <c r="B58" s="515" t="s">
        <v>486</v>
      </c>
      <c r="C58" s="544">
        <f>D58+E58</f>
        <v>4661262</v>
      </c>
      <c r="D58" s="544">
        <v>4038042</v>
      </c>
      <c r="E58" s="544">
        <v>623220</v>
      </c>
      <c r="F58" s="544"/>
      <c r="G58" s="544"/>
      <c r="H58" s="544">
        <f aca="true" t="shared" si="19" ref="H58:H76">I58+R58</f>
        <v>4661262</v>
      </c>
      <c r="I58" s="544">
        <f>J58+K58+L58+M58+N58+O58+P58+Q58</f>
        <v>3617839</v>
      </c>
      <c r="J58" s="544">
        <v>1267766</v>
      </c>
      <c r="K58" s="544">
        <v>103493</v>
      </c>
      <c r="L58" s="544"/>
      <c r="M58" s="544">
        <v>2246580</v>
      </c>
      <c r="N58" s="547">
        <v>0</v>
      </c>
      <c r="O58" s="547"/>
      <c r="P58" s="547"/>
      <c r="Q58" s="547"/>
      <c r="R58" s="547">
        <v>1043423</v>
      </c>
      <c r="S58" s="526">
        <f t="shared" si="4"/>
        <v>3290003</v>
      </c>
      <c r="T58" s="528">
        <f t="shared" si="2"/>
        <v>37.90270932454429</v>
      </c>
      <c r="U58" s="511">
        <f t="shared" si="3"/>
        <v>0</v>
      </c>
    </row>
    <row r="59" spans="1:21" s="539" customFormat="1" ht="24" customHeight="1">
      <c r="A59" s="512" t="s">
        <v>583</v>
      </c>
      <c r="B59" s="515" t="s">
        <v>487</v>
      </c>
      <c r="C59" s="544">
        <f>D59+E59</f>
        <v>84836088</v>
      </c>
      <c r="D59" s="544">
        <v>78129210</v>
      </c>
      <c r="E59" s="544">
        <v>6706878</v>
      </c>
      <c r="F59" s="544">
        <v>5950</v>
      </c>
      <c r="G59" s="544"/>
      <c r="H59" s="544">
        <f t="shared" si="19"/>
        <v>84830138</v>
      </c>
      <c r="I59" s="544">
        <f>J59+K59+L59+M59+N59+O59+P59+Q59</f>
        <v>13608824</v>
      </c>
      <c r="J59" s="544">
        <v>393429</v>
      </c>
      <c r="K59" s="544"/>
      <c r="L59" s="544"/>
      <c r="M59" s="544">
        <v>13087444</v>
      </c>
      <c r="N59" s="547">
        <v>127951</v>
      </c>
      <c r="O59" s="547"/>
      <c r="P59" s="547"/>
      <c r="Q59" s="547"/>
      <c r="R59" s="547">
        <v>71221314</v>
      </c>
      <c r="S59" s="526">
        <f t="shared" si="4"/>
        <v>84436709</v>
      </c>
      <c r="T59" s="528">
        <f t="shared" si="2"/>
        <v>2.8909845553149927</v>
      </c>
      <c r="U59" s="511">
        <f t="shared" si="3"/>
        <v>0</v>
      </c>
    </row>
    <row r="60" spans="1:21" s="539" customFormat="1" ht="23.25" customHeight="1">
      <c r="A60" s="512" t="s">
        <v>584</v>
      </c>
      <c r="B60" s="515" t="s">
        <v>574</v>
      </c>
      <c r="C60" s="544">
        <f>D60+E60</f>
        <v>14498630</v>
      </c>
      <c r="D60" s="544">
        <v>10805301</v>
      </c>
      <c r="E60" s="544">
        <v>3693329</v>
      </c>
      <c r="F60" s="544"/>
      <c r="G60" s="544"/>
      <c r="H60" s="544">
        <f t="shared" si="19"/>
        <v>14498630</v>
      </c>
      <c r="I60" s="544">
        <f>J60+K60+L60+M60+N60+O60+P60+Q60</f>
        <v>12625567</v>
      </c>
      <c r="J60" s="544">
        <v>228576</v>
      </c>
      <c r="K60" s="544">
        <v>1045078</v>
      </c>
      <c r="L60" s="544">
        <v>4300</v>
      </c>
      <c r="M60" s="544">
        <v>11127611</v>
      </c>
      <c r="N60" s="547">
        <v>220002</v>
      </c>
      <c r="O60" s="547"/>
      <c r="P60" s="547"/>
      <c r="Q60" s="547"/>
      <c r="R60" s="547">
        <v>1873063</v>
      </c>
      <c r="S60" s="526">
        <f t="shared" si="4"/>
        <v>13220676</v>
      </c>
      <c r="T60" s="528">
        <f t="shared" si="2"/>
        <v>10.12195333484825</v>
      </c>
      <c r="U60" s="511">
        <f t="shared" si="3"/>
        <v>0</v>
      </c>
    </row>
    <row r="61" spans="1:21" s="579" customFormat="1" ht="24" customHeight="1">
      <c r="A61" s="584">
        <v>7</v>
      </c>
      <c r="B61" s="585" t="s">
        <v>532</v>
      </c>
      <c r="C61" s="440">
        <f aca="true" t="shared" si="20" ref="C61:R61">SUM(C62:C67)</f>
        <v>427669937</v>
      </c>
      <c r="D61" s="440">
        <f t="shared" si="20"/>
        <v>275533507</v>
      </c>
      <c r="E61" s="440">
        <f t="shared" si="20"/>
        <v>152136430</v>
      </c>
      <c r="F61" s="440">
        <f t="shared" si="20"/>
        <v>2891967</v>
      </c>
      <c r="G61" s="440">
        <f t="shared" si="20"/>
        <v>9220570</v>
      </c>
      <c r="H61" s="451">
        <f t="shared" si="19"/>
        <v>424777970</v>
      </c>
      <c r="I61" s="451">
        <f aca="true" t="shared" si="21" ref="I61:I66">SUM(J61:Q61)</f>
        <v>359213809</v>
      </c>
      <c r="J61" s="440">
        <f t="shared" si="20"/>
        <v>70141166</v>
      </c>
      <c r="K61" s="440">
        <f t="shared" si="20"/>
        <v>268879</v>
      </c>
      <c r="L61" s="440">
        <f t="shared" si="20"/>
        <v>0</v>
      </c>
      <c r="M61" s="440">
        <f t="shared" si="20"/>
        <v>284337564</v>
      </c>
      <c r="N61" s="440">
        <f t="shared" si="20"/>
        <v>0</v>
      </c>
      <c r="O61" s="440">
        <f t="shared" si="20"/>
        <v>4466200</v>
      </c>
      <c r="P61" s="440">
        <f t="shared" si="20"/>
        <v>0</v>
      </c>
      <c r="Q61" s="440">
        <f t="shared" si="20"/>
        <v>0</v>
      </c>
      <c r="R61" s="440">
        <f t="shared" si="20"/>
        <v>65564161</v>
      </c>
      <c r="S61" s="577">
        <f t="shared" si="4"/>
        <v>354367925</v>
      </c>
      <c r="T61" s="578">
        <f t="shared" si="2"/>
        <v>19.601152081544836</v>
      </c>
      <c r="U61" s="456">
        <f t="shared" si="3"/>
        <v>0</v>
      </c>
    </row>
    <row r="62" spans="1:21" s="539" customFormat="1" ht="24" customHeight="1">
      <c r="A62" s="517" t="s">
        <v>43</v>
      </c>
      <c r="B62" s="514" t="s">
        <v>488</v>
      </c>
      <c r="C62" s="518">
        <f aca="true" t="shared" si="22" ref="C62:C67">D62+E62</f>
        <v>115262788</v>
      </c>
      <c r="D62" s="518">
        <v>53125765</v>
      </c>
      <c r="E62" s="518">
        <v>62137023</v>
      </c>
      <c r="F62" s="518"/>
      <c r="G62" s="518"/>
      <c r="H62" s="518">
        <f t="shared" si="19"/>
        <v>115262788</v>
      </c>
      <c r="I62" s="518">
        <f t="shared" si="21"/>
        <v>108713797</v>
      </c>
      <c r="J62" s="518">
        <v>60726006</v>
      </c>
      <c r="K62" s="518">
        <v>180000</v>
      </c>
      <c r="L62" s="518"/>
      <c r="M62" s="518">
        <v>47807791</v>
      </c>
      <c r="N62" s="518"/>
      <c r="O62" s="518"/>
      <c r="P62" s="518"/>
      <c r="Q62" s="519"/>
      <c r="R62" s="520">
        <v>6548991</v>
      </c>
      <c r="S62" s="526">
        <f t="shared" si="4"/>
        <v>54356782</v>
      </c>
      <c r="T62" s="528">
        <f t="shared" si="2"/>
        <v>56.02417327029797</v>
      </c>
      <c r="U62" s="511">
        <f t="shared" si="3"/>
        <v>0</v>
      </c>
    </row>
    <row r="63" spans="1:21" s="539" customFormat="1" ht="24" customHeight="1">
      <c r="A63" s="517" t="s">
        <v>44</v>
      </c>
      <c r="B63" s="514" t="s">
        <v>489</v>
      </c>
      <c r="C63" s="518">
        <f t="shared" si="22"/>
        <v>61195633</v>
      </c>
      <c r="D63" s="548">
        <v>61025167</v>
      </c>
      <c r="E63" s="548">
        <v>170466</v>
      </c>
      <c r="F63" s="518">
        <v>200</v>
      </c>
      <c r="G63" s="548">
        <v>0</v>
      </c>
      <c r="H63" s="518">
        <f t="shared" si="19"/>
        <v>61195433</v>
      </c>
      <c r="I63" s="518">
        <f t="shared" si="21"/>
        <v>60014939</v>
      </c>
      <c r="J63" s="548">
        <v>57813</v>
      </c>
      <c r="K63" s="548">
        <v>11775</v>
      </c>
      <c r="L63" s="548">
        <v>0</v>
      </c>
      <c r="M63" s="548">
        <v>55479151</v>
      </c>
      <c r="N63" s="548">
        <v>0</v>
      </c>
      <c r="O63" s="548">
        <v>4466200</v>
      </c>
      <c r="P63" s="548">
        <v>0</v>
      </c>
      <c r="Q63" s="549">
        <v>0</v>
      </c>
      <c r="R63" s="550">
        <v>1180494</v>
      </c>
      <c r="S63" s="526">
        <f t="shared" si="4"/>
        <v>61125845</v>
      </c>
      <c r="T63" s="528">
        <f t="shared" si="2"/>
        <v>0.11595113010112365</v>
      </c>
      <c r="U63" s="511">
        <f t="shared" si="3"/>
        <v>0</v>
      </c>
    </row>
    <row r="64" spans="1:21" s="539" customFormat="1" ht="24" customHeight="1">
      <c r="A64" s="517" t="s">
        <v>47</v>
      </c>
      <c r="B64" s="514" t="s">
        <v>548</v>
      </c>
      <c r="C64" s="518">
        <f t="shared" si="22"/>
        <v>21608521</v>
      </c>
      <c r="D64" s="518">
        <v>20417204</v>
      </c>
      <c r="E64" s="518">
        <v>1191317</v>
      </c>
      <c r="F64" s="518">
        <v>296239</v>
      </c>
      <c r="G64" s="518"/>
      <c r="H64" s="518">
        <f t="shared" si="19"/>
        <v>21312282</v>
      </c>
      <c r="I64" s="518">
        <f t="shared" si="21"/>
        <v>13749948</v>
      </c>
      <c r="J64" s="518">
        <v>933435</v>
      </c>
      <c r="K64" s="518">
        <v>31803</v>
      </c>
      <c r="L64" s="518"/>
      <c r="M64" s="518">
        <v>12784710</v>
      </c>
      <c r="N64" s="518"/>
      <c r="O64" s="518"/>
      <c r="P64" s="518"/>
      <c r="Q64" s="519">
        <v>0</v>
      </c>
      <c r="R64" s="520">
        <v>7562334</v>
      </c>
      <c r="S64" s="526">
        <f t="shared" si="4"/>
        <v>20347044</v>
      </c>
      <c r="T64" s="528">
        <f t="shared" si="2"/>
        <v>7.019939275406714</v>
      </c>
      <c r="U64" s="511">
        <f t="shared" si="3"/>
        <v>0</v>
      </c>
    </row>
    <row r="65" spans="1:21" s="539" customFormat="1" ht="24" customHeight="1">
      <c r="A65" s="517" t="s">
        <v>56</v>
      </c>
      <c r="B65" s="514" t="s">
        <v>491</v>
      </c>
      <c r="C65" s="518">
        <f t="shared" si="22"/>
        <v>56702513</v>
      </c>
      <c r="D65" s="518">
        <v>30361111</v>
      </c>
      <c r="E65" s="518">
        <v>26341402</v>
      </c>
      <c r="F65" s="518">
        <v>60000</v>
      </c>
      <c r="G65" s="518"/>
      <c r="H65" s="518">
        <f t="shared" si="19"/>
        <v>56642513</v>
      </c>
      <c r="I65" s="518">
        <f t="shared" si="21"/>
        <v>15196880</v>
      </c>
      <c r="J65" s="518">
        <v>6415023</v>
      </c>
      <c r="K65" s="518">
        <v>2610</v>
      </c>
      <c r="L65" s="518"/>
      <c r="M65" s="518">
        <v>8779247</v>
      </c>
      <c r="N65" s="518"/>
      <c r="O65" s="518"/>
      <c r="P65" s="518"/>
      <c r="Q65" s="519">
        <v>0</v>
      </c>
      <c r="R65" s="520">
        <v>41445633</v>
      </c>
      <c r="S65" s="526">
        <f t="shared" si="4"/>
        <v>50224880</v>
      </c>
      <c r="T65" s="528">
        <f t="shared" si="2"/>
        <v>42.22993798727107</v>
      </c>
      <c r="U65" s="511">
        <f t="shared" si="3"/>
        <v>0</v>
      </c>
    </row>
    <row r="66" spans="1:21" s="539" customFormat="1" ht="24" customHeight="1">
      <c r="A66" s="517" t="s">
        <v>57</v>
      </c>
      <c r="B66" s="514" t="s">
        <v>492</v>
      </c>
      <c r="C66" s="518">
        <f>D66+E66</f>
        <v>106315704</v>
      </c>
      <c r="D66" s="518">
        <f>81006719-495+497</f>
        <v>81006721</v>
      </c>
      <c r="E66" s="544">
        <v>25308983</v>
      </c>
      <c r="F66" s="518"/>
      <c r="G66" s="518"/>
      <c r="H66" s="518">
        <f t="shared" si="19"/>
        <v>106315704</v>
      </c>
      <c r="I66" s="518">
        <f t="shared" si="21"/>
        <v>100087586</v>
      </c>
      <c r="J66" s="518">
        <v>1583117</v>
      </c>
      <c r="K66" s="518"/>
      <c r="L66" s="518"/>
      <c r="M66" s="518">
        <f>98404404+100065</f>
        <v>98504469</v>
      </c>
      <c r="N66" s="518"/>
      <c r="O66" s="518"/>
      <c r="P66" s="518"/>
      <c r="Q66" s="519">
        <v>0</v>
      </c>
      <c r="R66" s="520">
        <v>6228118</v>
      </c>
      <c r="S66" s="526">
        <f t="shared" si="4"/>
        <v>104732587</v>
      </c>
      <c r="T66" s="528">
        <f t="shared" si="2"/>
        <v>1.5817316245393311</v>
      </c>
      <c r="U66" s="511">
        <f t="shared" si="3"/>
        <v>0</v>
      </c>
    </row>
    <row r="67" spans="1:21" s="539" customFormat="1" ht="24" customHeight="1">
      <c r="A67" s="517" t="s">
        <v>58</v>
      </c>
      <c r="B67" s="514" t="s">
        <v>493</v>
      </c>
      <c r="C67" s="518">
        <f t="shared" si="22"/>
        <v>66584778</v>
      </c>
      <c r="D67" s="518">
        <f>29598036-497</f>
        <v>29597539</v>
      </c>
      <c r="E67" s="518">
        <v>36987239</v>
      </c>
      <c r="F67" s="518">
        <v>2535528</v>
      </c>
      <c r="G67" s="518">
        <v>9220570</v>
      </c>
      <c r="H67" s="518">
        <f t="shared" si="19"/>
        <v>64049250</v>
      </c>
      <c r="I67" s="518">
        <f>J67+K67+L67+M67+N67+O67+P67+Q67</f>
        <v>61450659</v>
      </c>
      <c r="J67" s="518">
        <v>425772</v>
      </c>
      <c r="K67" s="518">
        <v>42691</v>
      </c>
      <c r="L67" s="518"/>
      <c r="M67" s="518">
        <f>60982693-497</f>
        <v>60982196</v>
      </c>
      <c r="N67" s="518"/>
      <c r="O67" s="518"/>
      <c r="P67" s="518"/>
      <c r="Q67" s="519">
        <v>0</v>
      </c>
      <c r="R67" s="520">
        <v>2598591</v>
      </c>
      <c r="S67" s="526">
        <f t="shared" si="4"/>
        <v>63580787</v>
      </c>
      <c r="T67" s="528">
        <f t="shared" si="2"/>
        <v>0.7623400751487466</v>
      </c>
      <c r="U67" s="511">
        <f t="shared" si="3"/>
        <v>0</v>
      </c>
    </row>
    <row r="68" spans="1:21" s="579" customFormat="1" ht="24" customHeight="1">
      <c r="A68" s="453">
        <v>8</v>
      </c>
      <c r="B68" s="455" t="s">
        <v>494</v>
      </c>
      <c r="C68" s="586">
        <f>C69+C70+C71</f>
        <v>44024793</v>
      </c>
      <c r="D68" s="586">
        <f aca="true" t="shared" si="23" ref="D68:R68">D69+D70+D71</f>
        <v>38852964</v>
      </c>
      <c r="E68" s="586">
        <f t="shared" si="23"/>
        <v>5171829</v>
      </c>
      <c r="F68" s="586">
        <f t="shared" si="23"/>
        <v>87793</v>
      </c>
      <c r="G68" s="586">
        <f t="shared" si="23"/>
        <v>1</v>
      </c>
      <c r="H68" s="451">
        <f t="shared" si="19"/>
        <v>43937000</v>
      </c>
      <c r="I68" s="451">
        <f>SUM(J68:Q68)</f>
        <v>31721073</v>
      </c>
      <c r="J68" s="586">
        <f t="shared" si="23"/>
        <v>3945027</v>
      </c>
      <c r="K68" s="586">
        <f t="shared" si="23"/>
        <v>0</v>
      </c>
      <c r="L68" s="586">
        <f t="shared" si="23"/>
        <v>0</v>
      </c>
      <c r="M68" s="586">
        <f t="shared" si="23"/>
        <v>27775438</v>
      </c>
      <c r="N68" s="586">
        <f t="shared" si="23"/>
        <v>0</v>
      </c>
      <c r="O68" s="586">
        <f t="shared" si="23"/>
        <v>608</v>
      </c>
      <c r="P68" s="586">
        <f t="shared" si="23"/>
        <v>0</v>
      </c>
      <c r="Q68" s="586">
        <f t="shared" si="23"/>
        <v>0</v>
      </c>
      <c r="R68" s="586">
        <f t="shared" si="23"/>
        <v>12215927</v>
      </c>
      <c r="S68" s="577">
        <f t="shared" si="4"/>
        <v>39991973</v>
      </c>
      <c r="T68" s="578">
        <f t="shared" si="2"/>
        <v>12.436612721139666</v>
      </c>
      <c r="U68" s="456">
        <f t="shared" si="3"/>
        <v>0</v>
      </c>
    </row>
    <row r="69" spans="1:21" s="539" customFormat="1" ht="24" customHeight="1">
      <c r="A69" s="517" t="s">
        <v>495</v>
      </c>
      <c r="B69" s="516" t="s">
        <v>496</v>
      </c>
      <c r="C69" s="537">
        <f>D69+E69</f>
        <v>3370405</v>
      </c>
      <c r="D69" s="537">
        <v>2823439</v>
      </c>
      <c r="E69" s="537">
        <v>546966</v>
      </c>
      <c r="F69" s="537">
        <v>84593</v>
      </c>
      <c r="G69" s="537"/>
      <c r="H69" s="537">
        <f t="shared" si="19"/>
        <v>3285812</v>
      </c>
      <c r="I69" s="537">
        <f>J69+K69+L69+M69+N69+O69+P69+Q69</f>
        <v>2638563</v>
      </c>
      <c r="J69" s="537">
        <v>570337</v>
      </c>
      <c r="K69" s="537">
        <v>0</v>
      </c>
      <c r="L69" s="537"/>
      <c r="M69" s="537">
        <v>2068226</v>
      </c>
      <c r="N69" s="537"/>
      <c r="O69" s="537"/>
      <c r="P69" s="537"/>
      <c r="Q69" s="537"/>
      <c r="R69" s="537">
        <v>647249</v>
      </c>
      <c r="S69" s="526">
        <f t="shared" si="4"/>
        <v>2715475</v>
      </c>
      <c r="T69" s="528">
        <f t="shared" si="2"/>
        <v>21.61543991938036</v>
      </c>
      <c r="U69" s="511">
        <f t="shared" si="3"/>
        <v>0</v>
      </c>
    </row>
    <row r="70" spans="1:21" s="539" customFormat="1" ht="24" customHeight="1">
      <c r="A70" s="517" t="s">
        <v>497</v>
      </c>
      <c r="B70" s="516" t="s">
        <v>498</v>
      </c>
      <c r="C70" s="537">
        <f>D70+E70</f>
        <v>22937956</v>
      </c>
      <c r="D70" s="537">
        <v>18563126</v>
      </c>
      <c r="E70" s="537">
        <v>4374830</v>
      </c>
      <c r="F70" s="537">
        <v>3200</v>
      </c>
      <c r="G70" s="537">
        <v>1</v>
      </c>
      <c r="H70" s="537">
        <f t="shared" si="19"/>
        <v>22934756</v>
      </c>
      <c r="I70" s="537">
        <f>J70+K70+L70+M70+N70+O70+P70+Q70</f>
        <v>15720642</v>
      </c>
      <c r="J70" s="537">
        <v>418193</v>
      </c>
      <c r="K70" s="537">
        <v>0</v>
      </c>
      <c r="L70" s="537"/>
      <c r="M70" s="537">
        <v>15301841</v>
      </c>
      <c r="N70" s="537"/>
      <c r="O70" s="537">
        <v>608</v>
      </c>
      <c r="P70" s="537"/>
      <c r="Q70" s="537"/>
      <c r="R70" s="537">
        <v>7214114</v>
      </c>
      <c r="S70" s="526">
        <f t="shared" si="4"/>
        <v>22516563</v>
      </c>
      <c r="T70" s="528">
        <f t="shared" si="2"/>
        <v>2.6601521744468193</v>
      </c>
      <c r="U70" s="511">
        <f t="shared" si="3"/>
        <v>0</v>
      </c>
    </row>
    <row r="71" spans="1:21" s="539" customFormat="1" ht="24" customHeight="1">
      <c r="A71" s="517" t="s">
        <v>549</v>
      </c>
      <c r="B71" s="516" t="s">
        <v>490</v>
      </c>
      <c r="C71" s="537">
        <f>D71+E71</f>
        <v>17716432</v>
      </c>
      <c r="D71" s="537">
        <v>17466399</v>
      </c>
      <c r="E71" s="537">
        <v>250033</v>
      </c>
      <c r="F71" s="537"/>
      <c r="G71" s="537"/>
      <c r="H71" s="537">
        <f t="shared" si="19"/>
        <v>17716432</v>
      </c>
      <c r="I71" s="537">
        <f>J71+K71+L71+M71+N71+O71+P71+Q71</f>
        <v>13361868</v>
      </c>
      <c r="J71" s="537">
        <v>2956497</v>
      </c>
      <c r="K71" s="537">
        <v>0</v>
      </c>
      <c r="L71" s="537"/>
      <c r="M71" s="537">
        <v>10405371</v>
      </c>
      <c r="N71" s="537"/>
      <c r="O71" s="537"/>
      <c r="P71" s="537"/>
      <c r="Q71" s="537"/>
      <c r="R71" s="537">
        <v>4354564</v>
      </c>
      <c r="S71" s="526">
        <f t="shared" si="4"/>
        <v>14759935</v>
      </c>
      <c r="T71" s="528">
        <f t="shared" si="2"/>
        <v>22.1263748451938</v>
      </c>
      <c r="U71" s="511">
        <f t="shared" si="3"/>
        <v>0</v>
      </c>
    </row>
    <row r="72" spans="1:21" s="579" customFormat="1" ht="24" customHeight="1">
      <c r="A72" s="453">
        <v>9</v>
      </c>
      <c r="B72" s="455" t="s">
        <v>499</v>
      </c>
      <c r="C72" s="587">
        <f>SUM(C73:C75)</f>
        <v>11392420</v>
      </c>
      <c r="D72" s="587">
        <f aca="true" t="shared" si="24" ref="D72:R72">SUM(D73:D75)</f>
        <v>10696272</v>
      </c>
      <c r="E72" s="587">
        <f t="shared" si="24"/>
        <v>696148</v>
      </c>
      <c r="F72" s="587">
        <f t="shared" si="24"/>
        <v>12805</v>
      </c>
      <c r="G72" s="587">
        <f t="shared" si="24"/>
        <v>0</v>
      </c>
      <c r="H72" s="451">
        <f t="shared" si="19"/>
        <v>11379615</v>
      </c>
      <c r="I72" s="451">
        <f>SUM(J72:Q72)</f>
        <v>10079877</v>
      </c>
      <c r="J72" s="587">
        <f t="shared" si="24"/>
        <v>501632</v>
      </c>
      <c r="K72" s="587">
        <f t="shared" si="24"/>
        <v>411405</v>
      </c>
      <c r="L72" s="587">
        <f t="shared" si="24"/>
        <v>0</v>
      </c>
      <c r="M72" s="587">
        <f t="shared" si="24"/>
        <v>9166840</v>
      </c>
      <c r="N72" s="587">
        <f t="shared" si="24"/>
        <v>0</v>
      </c>
      <c r="O72" s="587">
        <f t="shared" si="24"/>
        <v>0</v>
      </c>
      <c r="P72" s="587">
        <f t="shared" si="24"/>
        <v>0</v>
      </c>
      <c r="Q72" s="587">
        <f t="shared" si="24"/>
        <v>0</v>
      </c>
      <c r="R72" s="587">
        <f t="shared" si="24"/>
        <v>1299738</v>
      </c>
      <c r="S72" s="577">
        <f t="shared" si="4"/>
        <v>10466578</v>
      </c>
      <c r="T72" s="578">
        <f t="shared" si="2"/>
        <v>9.058017275409213</v>
      </c>
      <c r="U72" s="456">
        <f t="shared" si="3"/>
        <v>0</v>
      </c>
    </row>
    <row r="73" spans="1:21" s="539" customFormat="1" ht="24" customHeight="1">
      <c r="A73" s="517" t="s">
        <v>500</v>
      </c>
      <c r="B73" s="514" t="s">
        <v>501</v>
      </c>
      <c r="C73" s="551">
        <f>SUM(D73:E73)</f>
        <v>3621086</v>
      </c>
      <c r="D73" s="551">
        <v>3380007</v>
      </c>
      <c r="E73" s="551">
        <f>32532+55757+10605+142185</f>
        <v>241079</v>
      </c>
      <c r="F73" s="551">
        <f>9405</f>
        <v>9405</v>
      </c>
      <c r="G73" s="551">
        <v>0</v>
      </c>
      <c r="H73" s="551">
        <f t="shared" si="19"/>
        <v>3611681</v>
      </c>
      <c r="I73" s="551">
        <f>SUM(J73:Q73)</f>
        <v>3274051</v>
      </c>
      <c r="J73" s="551">
        <f>29384+40732+256371+7900+3300</f>
        <v>337687</v>
      </c>
      <c r="K73" s="551">
        <f>73600+240000</f>
        <v>313600</v>
      </c>
      <c r="L73" s="551">
        <v>0</v>
      </c>
      <c r="M73" s="551">
        <f>C73-J73-K73-L73-N73-O73-P73-Q73-R73-F73-G73</f>
        <v>2622764</v>
      </c>
      <c r="N73" s="551">
        <v>0</v>
      </c>
      <c r="O73" s="551">
        <v>0</v>
      </c>
      <c r="P73" s="551">
        <v>0</v>
      </c>
      <c r="Q73" s="552">
        <v>0</v>
      </c>
      <c r="R73" s="553">
        <f>818630-480000-1000</f>
        <v>337630</v>
      </c>
      <c r="S73" s="526">
        <f t="shared" si="4"/>
        <v>2960394</v>
      </c>
      <c r="T73" s="528">
        <f t="shared" si="2"/>
        <v>19.892390191844907</v>
      </c>
      <c r="U73" s="511">
        <f t="shared" si="3"/>
        <v>0</v>
      </c>
    </row>
    <row r="74" spans="1:21" s="539" customFormat="1" ht="24" customHeight="1">
      <c r="A74" s="517" t="s">
        <v>502</v>
      </c>
      <c r="B74" s="514" t="s">
        <v>503</v>
      </c>
      <c r="C74" s="551">
        <f>SUM(D74:E74)</f>
        <v>4622171</v>
      </c>
      <c r="D74" s="551">
        <v>4403090</v>
      </c>
      <c r="E74" s="551">
        <f>112368+20143+73470+5600+7500</f>
        <v>219081</v>
      </c>
      <c r="F74" s="551">
        <v>0</v>
      </c>
      <c r="G74" s="551">
        <v>0</v>
      </c>
      <c r="H74" s="551">
        <f t="shared" si="19"/>
        <v>4622171</v>
      </c>
      <c r="I74" s="551">
        <f>SUM(J74:Q74)</f>
        <v>4231236</v>
      </c>
      <c r="J74" s="551">
        <f>7887+1600+22700+33979+6000</f>
        <v>72166</v>
      </c>
      <c r="K74" s="551">
        <f>15000</f>
        <v>15000</v>
      </c>
      <c r="L74" s="551">
        <v>0</v>
      </c>
      <c r="M74" s="551">
        <f>C74-J74-K74-L74-N74-O74-P74-Q74-R74-F74-G74</f>
        <v>4144070</v>
      </c>
      <c r="N74" s="551">
        <v>0</v>
      </c>
      <c r="O74" s="551">
        <v>0</v>
      </c>
      <c r="P74" s="551">
        <v>0</v>
      </c>
      <c r="Q74" s="552">
        <v>0</v>
      </c>
      <c r="R74" s="553">
        <v>390935</v>
      </c>
      <c r="S74" s="526">
        <f t="shared" si="4"/>
        <v>4535005</v>
      </c>
      <c r="T74" s="528">
        <f t="shared" si="2"/>
        <v>2.060059991926709</v>
      </c>
      <c r="U74" s="511">
        <f t="shared" si="3"/>
        <v>0</v>
      </c>
    </row>
    <row r="75" spans="1:21" s="539" customFormat="1" ht="24" customHeight="1">
      <c r="A75" s="517" t="s">
        <v>504</v>
      </c>
      <c r="B75" s="514" t="s">
        <v>505</v>
      </c>
      <c r="C75" s="551">
        <f>SUM(D75:E75)</f>
        <v>3149163</v>
      </c>
      <c r="D75" s="551">
        <v>2913175</v>
      </c>
      <c r="E75" s="551">
        <f>15325+13000+156405+51258</f>
        <v>235988</v>
      </c>
      <c r="F75" s="551">
        <f>3400</f>
        <v>3400</v>
      </c>
      <c r="G75" s="551">
        <v>0</v>
      </c>
      <c r="H75" s="551">
        <f t="shared" si="19"/>
        <v>3145763</v>
      </c>
      <c r="I75" s="551">
        <f>SUM(J75:Q75)</f>
        <v>2574590</v>
      </c>
      <c r="J75" s="551">
        <f>9225+3700+11150+66704+1000</f>
        <v>91779</v>
      </c>
      <c r="K75" s="551">
        <f>82805</f>
        <v>82805</v>
      </c>
      <c r="L75" s="551">
        <v>0</v>
      </c>
      <c r="M75" s="551">
        <f>C75-J75-K75-L75-N75-O75-P75-Q75-R75-F75-G75</f>
        <v>2400006</v>
      </c>
      <c r="N75" s="551">
        <v>0</v>
      </c>
      <c r="O75" s="551">
        <v>0</v>
      </c>
      <c r="P75" s="551">
        <v>0</v>
      </c>
      <c r="Q75" s="552">
        <v>0</v>
      </c>
      <c r="R75" s="553">
        <v>571173</v>
      </c>
      <c r="S75" s="526">
        <f t="shared" si="4"/>
        <v>2971179</v>
      </c>
      <c r="T75" s="528">
        <f t="shared" si="2"/>
        <v>6.781040864759048</v>
      </c>
      <c r="U75" s="511">
        <f t="shared" si="3"/>
        <v>0</v>
      </c>
    </row>
    <row r="76" spans="1:21" s="579" customFormat="1" ht="24" customHeight="1">
      <c r="A76" s="453">
        <v>10</v>
      </c>
      <c r="B76" s="455" t="s">
        <v>506</v>
      </c>
      <c r="C76" s="588">
        <f>SUM(C77:C86)</f>
        <v>469291396</v>
      </c>
      <c r="D76" s="588">
        <f aca="true" t="shared" si="25" ref="D76:R76">SUM(D77:D86)</f>
        <v>387231178</v>
      </c>
      <c r="E76" s="588">
        <f t="shared" si="25"/>
        <v>82060218</v>
      </c>
      <c r="F76" s="588">
        <f t="shared" si="25"/>
        <v>950357</v>
      </c>
      <c r="G76" s="588">
        <f t="shared" si="25"/>
        <v>7207527</v>
      </c>
      <c r="H76" s="451">
        <f t="shared" si="19"/>
        <v>468341039</v>
      </c>
      <c r="I76" s="451">
        <f>SUM(J76:Q76)</f>
        <v>202618027</v>
      </c>
      <c r="J76" s="588">
        <f t="shared" si="25"/>
        <v>10683306</v>
      </c>
      <c r="K76" s="588">
        <f t="shared" si="25"/>
        <v>52892557</v>
      </c>
      <c r="L76" s="588">
        <f t="shared" si="25"/>
        <v>22756</v>
      </c>
      <c r="M76" s="588">
        <f t="shared" si="25"/>
        <v>135376793</v>
      </c>
      <c r="N76" s="588">
        <f t="shared" si="25"/>
        <v>267985</v>
      </c>
      <c r="O76" s="588">
        <f t="shared" si="25"/>
        <v>0</v>
      </c>
      <c r="P76" s="588">
        <f t="shared" si="25"/>
        <v>0</v>
      </c>
      <c r="Q76" s="588">
        <f t="shared" si="25"/>
        <v>3374630</v>
      </c>
      <c r="R76" s="588">
        <f t="shared" si="25"/>
        <v>265723012</v>
      </c>
      <c r="S76" s="577">
        <f t="shared" si="4"/>
        <v>404742420</v>
      </c>
      <c r="T76" s="578">
        <f aca="true" t="shared" si="26" ref="T76:T113">(J76+K76+L76)/I76*100</f>
        <v>31.388430704638143</v>
      </c>
      <c r="U76" s="456">
        <f aca="true" t="shared" si="27" ref="U76:U113">C76-F76-H76</f>
        <v>0</v>
      </c>
    </row>
    <row r="77" spans="1:21" s="539" customFormat="1" ht="24" customHeight="1">
      <c r="A77" s="521" t="s">
        <v>533</v>
      </c>
      <c r="B77" s="562" t="s">
        <v>473</v>
      </c>
      <c r="C77" s="554">
        <v>5569385</v>
      </c>
      <c r="D77" s="554">
        <v>212436</v>
      </c>
      <c r="E77" s="554">
        <v>5356949</v>
      </c>
      <c r="F77" s="554">
        <v>0</v>
      </c>
      <c r="G77" s="554">
        <v>0</v>
      </c>
      <c r="H77" s="554">
        <v>5569385</v>
      </c>
      <c r="I77" s="554">
        <v>5447207</v>
      </c>
      <c r="J77" s="554">
        <v>400</v>
      </c>
      <c r="K77" s="554">
        <v>0</v>
      </c>
      <c r="L77" s="554">
        <v>0</v>
      </c>
      <c r="M77" s="554">
        <v>5446807</v>
      </c>
      <c r="N77" s="554">
        <v>0</v>
      </c>
      <c r="O77" s="554">
        <v>0</v>
      </c>
      <c r="P77" s="554">
        <v>0</v>
      </c>
      <c r="Q77" s="554">
        <v>0</v>
      </c>
      <c r="R77" s="554">
        <v>122178</v>
      </c>
      <c r="S77" s="526">
        <f aca="true" t="shared" si="28" ref="S77:S113">SUM(M77:R77)</f>
        <v>5568985</v>
      </c>
      <c r="T77" s="528">
        <f t="shared" si="26"/>
        <v>0.007343212769406413</v>
      </c>
      <c r="U77" s="511">
        <f t="shared" si="27"/>
        <v>0</v>
      </c>
    </row>
    <row r="78" spans="1:21" s="539" customFormat="1" ht="24" customHeight="1">
      <c r="A78" s="521" t="s">
        <v>566</v>
      </c>
      <c r="B78" s="562" t="s">
        <v>567</v>
      </c>
      <c r="C78" s="554">
        <v>202303136</v>
      </c>
      <c r="D78" s="554">
        <v>152606336</v>
      </c>
      <c r="E78" s="554">
        <v>49696800</v>
      </c>
      <c r="F78" s="554">
        <v>14200</v>
      </c>
      <c r="G78" s="554">
        <v>7207527</v>
      </c>
      <c r="H78" s="554">
        <v>202288936</v>
      </c>
      <c r="I78" s="554">
        <v>54818524</v>
      </c>
      <c r="J78" s="554">
        <v>709235</v>
      </c>
      <c r="K78" s="554">
        <v>45707465</v>
      </c>
      <c r="L78" s="554">
        <v>0</v>
      </c>
      <c r="M78" s="554">
        <v>8401824</v>
      </c>
      <c r="N78" s="554">
        <v>0</v>
      </c>
      <c r="O78" s="554">
        <v>0</v>
      </c>
      <c r="P78" s="554">
        <v>0</v>
      </c>
      <c r="Q78" s="554">
        <v>0</v>
      </c>
      <c r="R78" s="554">
        <v>147470412</v>
      </c>
      <c r="S78" s="526">
        <f t="shared" si="28"/>
        <v>155872236</v>
      </c>
      <c r="T78" s="528">
        <f t="shared" si="26"/>
        <v>84.67338522284912</v>
      </c>
      <c r="U78" s="511">
        <f t="shared" si="27"/>
        <v>0</v>
      </c>
    </row>
    <row r="79" spans="1:21" s="539" customFormat="1" ht="24" customHeight="1">
      <c r="A79" s="521" t="s">
        <v>534</v>
      </c>
      <c r="B79" s="562" t="s">
        <v>507</v>
      </c>
      <c r="C79" s="554">
        <v>25216826</v>
      </c>
      <c r="D79" s="554">
        <v>23550628</v>
      </c>
      <c r="E79" s="554">
        <v>1666198</v>
      </c>
      <c r="F79" s="554">
        <v>0</v>
      </c>
      <c r="G79" s="554">
        <v>0</v>
      </c>
      <c r="H79" s="554">
        <v>25216826</v>
      </c>
      <c r="I79" s="554">
        <v>24132128</v>
      </c>
      <c r="J79" s="554">
        <v>7356176</v>
      </c>
      <c r="K79" s="554">
        <v>7075705</v>
      </c>
      <c r="L79" s="554">
        <v>0</v>
      </c>
      <c r="M79" s="554">
        <v>7128087</v>
      </c>
      <c r="N79" s="554">
        <v>0</v>
      </c>
      <c r="O79" s="554">
        <v>0</v>
      </c>
      <c r="P79" s="554">
        <v>0</v>
      </c>
      <c r="Q79" s="554">
        <v>2572160</v>
      </c>
      <c r="R79" s="554">
        <v>1084698</v>
      </c>
      <c r="S79" s="526">
        <f t="shared" si="28"/>
        <v>10784945</v>
      </c>
      <c r="T79" s="528">
        <f t="shared" si="26"/>
        <v>59.803598754324526</v>
      </c>
      <c r="U79" s="511">
        <f t="shared" si="27"/>
        <v>0</v>
      </c>
    </row>
    <row r="80" spans="1:21" s="539" customFormat="1" ht="24" customHeight="1">
      <c r="A80" s="521" t="s">
        <v>535</v>
      </c>
      <c r="B80" s="562" t="s">
        <v>568</v>
      </c>
      <c r="C80" s="554">
        <v>7802283</v>
      </c>
      <c r="D80" s="554">
        <v>7724411</v>
      </c>
      <c r="E80" s="554">
        <v>77872</v>
      </c>
      <c r="F80" s="554">
        <v>4700</v>
      </c>
      <c r="G80" s="554">
        <v>0</v>
      </c>
      <c r="H80" s="554">
        <v>7797583</v>
      </c>
      <c r="I80" s="554">
        <v>6072866</v>
      </c>
      <c r="J80" s="554">
        <v>57700</v>
      </c>
      <c r="K80" s="554">
        <v>27042</v>
      </c>
      <c r="L80" s="554">
        <v>22756</v>
      </c>
      <c r="M80" s="554">
        <v>5162898</v>
      </c>
      <c r="N80" s="554">
        <v>0</v>
      </c>
      <c r="O80" s="554">
        <v>0</v>
      </c>
      <c r="P80" s="554">
        <v>0</v>
      </c>
      <c r="Q80" s="554">
        <v>802470</v>
      </c>
      <c r="R80" s="554">
        <v>1724717</v>
      </c>
      <c r="S80" s="526">
        <f t="shared" si="28"/>
        <v>7690085</v>
      </c>
      <c r="T80" s="528">
        <f t="shared" si="26"/>
        <v>1.7701362091638444</v>
      </c>
      <c r="U80" s="511">
        <f t="shared" si="27"/>
        <v>0</v>
      </c>
    </row>
    <row r="81" spans="1:21" s="539" customFormat="1" ht="24" customHeight="1">
      <c r="A81" s="521" t="s">
        <v>536</v>
      </c>
      <c r="B81" s="562" t="s">
        <v>508</v>
      </c>
      <c r="C81" s="554">
        <v>12877426</v>
      </c>
      <c r="D81" s="554">
        <v>12821590</v>
      </c>
      <c r="E81" s="554">
        <v>55836</v>
      </c>
      <c r="F81" s="554">
        <v>0</v>
      </c>
      <c r="G81" s="554">
        <v>0</v>
      </c>
      <c r="H81" s="554">
        <v>12877426</v>
      </c>
      <c r="I81" s="554">
        <v>12398373</v>
      </c>
      <c r="J81" s="554">
        <v>2214451</v>
      </c>
      <c r="K81" s="554">
        <v>2064</v>
      </c>
      <c r="L81" s="554">
        <v>0</v>
      </c>
      <c r="M81" s="554">
        <v>10181858</v>
      </c>
      <c r="N81" s="554">
        <v>0</v>
      </c>
      <c r="O81" s="554">
        <v>0</v>
      </c>
      <c r="P81" s="554">
        <v>0</v>
      </c>
      <c r="Q81" s="554">
        <v>0</v>
      </c>
      <c r="R81" s="554">
        <v>479053</v>
      </c>
      <c r="S81" s="526">
        <f t="shared" si="28"/>
        <v>10660911</v>
      </c>
      <c r="T81" s="528">
        <f t="shared" si="26"/>
        <v>17.877466664376044</v>
      </c>
      <c r="U81" s="511">
        <f t="shared" si="27"/>
        <v>0</v>
      </c>
    </row>
    <row r="82" spans="1:21" s="539" customFormat="1" ht="24" customHeight="1">
      <c r="A82" s="521" t="s">
        <v>537</v>
      </c>
      <c r="B82" s="562" t="s">
        <v>510</v>
      </c>
      <c r="C82" s="554">
        <v>76762176</v>
      </c>
      <c r="D82" s="554">
        <v>76618784</v>
      </c>
      <c r="E82" s="554">
        <v>143392</v>
      </c>
      <c r="F82" s="554">
        <v>45556</v>
      </c>
      <c r="G82" s="554">
        <v>0</v>
      </c>
      <c r="H82" s="554">
        <v>76716620</v>
      </c>
      <c r="I82" s="554">
        <v>6876668</v>
      </c>
      <c r="J82" s="554">
        <v>150632</v>
      </c>
      <c r="K82" s="554">
        <v>0</v>
      </c>
      <c r="L82" s="554">
        <v>0</v>
      </c>
      <c r="M82" s="554">
        <v>6605604</v>
      </c>
      <c r="N82" s="554">
        <v>120432</v>
      </c>
      <c r="O82" s="554">
        <v>0</v>
      </c>
      <c r="P82" s="554">
        <v>0</v>
      </c>
      <c r="Q82" s="554">
        <v>0</v>
      </c>
      <c r="R82" s="554">
        <v>69839952</v>
      </c>
      <c r="S82" s="526">
        <f t="shared" si="28"/>
        <v>76565988</v>
      </c>
      <c r="T82" s="528">
        <f t="shared" si="26"/>
        <v>2.190479458947269</v>
      </c>
      <c r="U82" s="511">
        <f t="shared" si="27"/>
        <v>0</v>
      </c>
    </row>
    <row r="83" spans="1:21" s="539" customFormat="1" ht="24" customHeight="1">
      <c r="A83" s="521" t="s">
        <v>509</v>
      </c>
      <c r="B83" s="563" t="s">
        <v>569</v>
      </c>
      <c r="C83" s="555">
        <v>45601804</v>
      </c>
      <c r="D83" s="555">
        <v>22008893</v>
      </c>
      <c r="E83" s="555">
        <v>23592911</v>
      </c>
      <c r="F83" s="555">
        <v>28572</v>
      </c>
      <c r="G83" s="555">
        <v>0</v>
      </c>
      <c r="H83" s="555">
        <v>45573232</v>
      </c>
      <c r="I83" s="555">
        <v>28417071</v>
      </c>
      <c r="J83" s="555">
        <v>39735</v>
      </c>
      <c r="K83" s="555">
        <v>0</v>
      </c>
      <c r="L83" s="555">
        <v>0</v>
      </c>
      <c r="M83" s="555">
        <v>28229783</v>
      </c>
      <c r="N83" s="555">
        <v>147553</v>
      </c>
      <c r="O83" s="555">
        <v>0</v>
      </c>
      <c r="P83" s="555">
        <v>0</v>
      </c>
      <c r="Q83" s="555">
        <v>0</v>
      </c>
      <c r="R83" s="555">
        <v>17156161</v>
      </c>
      <c r="S83" s="526">
        <f t="shared" si="28"/>
        <v>45533497</v>
      </c>
      <c r="T83" s="528">
        <f t="shared" si="26"/>
        <v>0.13982792244844655</v>
      </c>
      <c r="U83" s="511">
        <f t="shared" si="27"/>
        <v>0</v>
      </c>
    </row>
    <row r="84" spans="1:21" s="539" customFormat="1" ht="24" customHeight="1">
      <c r="A84" s="521" t="s">
        <v>511</v>
      </c>
      <c r="B84" s="562" t="s">
        <v>570</v>
      </c>
      <c r="C84" s="554">
        <v>54916866</v>
      </c>
      <c r="D84" s="554">
        <v>53559431</v>
      </c>
      <c r="E84" s="554">
        <v>1357435</v>
      </c>
      <c r="F84" s="554">
        <v>0</v>
      </c>
      <c r="G84" s="554">
        <v>0</v>
      </c>
      <c r="H84" s="554">
        <v>54916866</v>
      </c>
      <c r="I84" s="554">
        <v>31533710</v>
      </c>
      <c r="J84" s="554">
        <v>72818</v>
      </c>
      <c r="K84" s="554">
        <v>7813</v>
      </c>
      <c r="L84" s="554">
        <v>0</v>
      </c>
      <c r="M84" s="554">
        <v>31453079</v>
      </c>
      <c r="N84" s="554">
        <v>0</v>
      </c>
      <c r="O84" s="554">
        <v>0</v>
      </c>
      <c r="P84" s="554">
        <v>0</v>
      </c>
      <c r="Q84" s="554">
        <v>0</v>
      </c>
      <c r="R84" s="554">
        <v>23383156</v>
      </c>
      <c r="S84" s="526">
        <f t="shared" si="28"/>
        <v>54836235</v>
      </c>
      <c r="T84" s="528">
        <f t="shared" si="26"/>
        <v>0.25569779134773546</v>
      </c>
      <c r="U84" s="511">
        <f t="shared" si="27"/>
        <v>0</v>
      </c>
    </row>
    <row r="85" spans="1:21" s="539" customFormat="1" ht="24" customHeight="1">
      <c r="A85" s="521" t="s">
        <v>512</v>
      </c>
      <c r="B85" s="562" t="s">
        <v>547</v>
      </c>
      <c r="C85" s="554">
        <v>8724525</v>
      </c>
      <c r="D85" s="554">
        <v>8662800</v>
      </c>
      <c r="E85" s="554">
        <v>61725</v>
      </c>
      <c r="F85" s="554">
        <v>857329</v>
      </c>
      <c r="G85" s="554">
        <v>0</v>
      </c>
      <c r="H85" s="554">
        <v>7867196</v>
      </c>
      <c r="I85" s="554">
        <v>5150417</v>
      </c>
      <c r="J85" s="554">
        <v>70231</v>
      </c>
      <c r="K85" s="554">
        <v>34150</v>
      </c>
      <c r="L85" s="554">
        <v>0</v>
      </c>
      <c r="M85" s="554">
        <v>5046036</v>
      </c>
      <c r="N85" s="554">
        <v>0</v>
      </c>
      <c r="O85" s="554">
        <v>0</v>
      </c>
      <c r="P85" s="554">
        <v>0</v>
      </c>
      <c r="Q85" s="554">
        <v>0</v>
      </c>
      <c r="R85" s="554">
        <v>2716779</v>
      </c>
      <c r="S85" s="526">
        <f t="shared" si="28"/>
        <v>7762815</v>
      </c>
      <c r="T85" s="528">
        <f t="shared" si="26"/>
        <v>2.0266514342430915</v>
      </c>
      <c r="U85" s="511">
        <f t="shared" si="27"/>
        <v>0</v>
      </c>
    </row>
    <row r="86" spans="1:21" s="539" customFormat="1" ht="24" customHeight="1">
      <c r="A86" s="521" t="s">
        <v>513</v>
      </c>
      <c r="B86" s="562" t="s">
        <v>575</v>
      </c>
      <c r="C86" s="554">
        <v>29516969</v>
      </c>
      <c r="D86" s="554">
        <v>29465869</v>
      </c>
      <c r="E86" s="554">
        <v>51100</v>
      </c>
      <c r="F86" s="554">
        <v>0</v>
      </c>
      <c r="G86" s="554">
        <v>0</v>
      </c>
      <c r="H86" s="554">
        <v>29516969</v>
      </c>
      <c r="I86" s="554">
        <v>27771063</v>
      </c>
      <c r="J86" s="554">
        <v>11928</v>
      </c>
      <c r="K86" s="554">
        <v>38318</v>
      </c>
      <c r="L86" s="554">
        <v>0</v>
      </c>
      <c r="M86" s="554">
        <v>27720817</v>
      </c>
      <c r="N86" s="554">
        <v>0</v>
      </c>
      <c r="O86" s="554">
        <v>0</v>
      </c>
      <c r="P86" s="554">
        <v>0</v>
      </c>
      <c r="Q86" s="554">
        <v>0</v>
      </c>
      <c r="R86" s="554">
        <v>1745906</v>
      </c>
      <c r="S86" s="526">
        <f t="shared" si="28"/>
        <v>29466723</v>
      </c>
      <c r="T86" s="528">
        <f t="shared" si="26"/>
        <v>0.18092933641034914</v>
      </c>
      <c r="U86" s="511">
        <f t="shared" si="27"/>
        <v>0</v>
      </c>
    </row>
    <row r="87" spans="1:21" s="579" customFormat="1" ht="24" customHeight="1">
      <c r="A87" s="453">
        <v>11</v>
      </c>
      <c r="B87" s="455" t="s">
        <v>514</v>
      </c>
      <c r="C87" s="440">
        <f>C88+C89</f>
        <v>10573454</v>
      </c>
      <c r="D87" s="440">
        <f aca="true" t="shared" si="29" ref="D87:R87">D88+D89</f>
        <v>9903693</v>
      </c>
      <c r="E87" s="440">
        <f t="shared" si="29"/>
        <v>669761</v>
      </c>
      <c r="F87" s="440">
        <f t="shared" si="29"/>
        <v>0</v>
      </c>
      <c r="G87" s="440">
        <f t="shared" si="29"/>
        <v>0</v>
      </c>
      <c r="H87" s="451">
        <f>I87+R87</f>
        <v>10573454</v>
      </c>
      <c r="I87" s="451">
        <f>SUM(J87:Q87)</f>
        <v>6580266</v>
      </c>
      <c r="J87" s="440">
        <f t="shared" si="29"/>
        <v>162898</v>
      </c>
      <c r="K87" s="440">
        <f t="shared" si="29"/>
        <v>1127399</v>
      </c>
      <c r="L87" s="440">
        <f t="shared" si="29"/>
        <v>0</v>
      </c>
      <c r="M87" s="440">
        <f t="shared" si="29"/>
        <v>5050895</v>
      </c>
      <c r="N87" s="440">
        <f t="shared" si="29"/>
        <v>0</v>
      </c>
      <c r="O87" s="440">
        <f t="shared" si="29"/>
        <v>0</v>
      </c>
      <c r="P87" s="440">
        <f t="shared" si="29"/>
        <v>0</v>
      </c>
      <c r="Q87" s="440">
        <f t="shared" si="29"/>
        <v>239074</v>
      </c>
      <c r="R87" s="440">
        <f t="shared" si="29"/>
        <v>3993188</v>
      </c>
      <c r="S87" s="577">
        <f t="shared" si="28"/>
        <v>9283157</v>
      </c>
      <c r="T87" s="578">
        <f t="shared" si="26"/>
        <v>19.60858421224917</v>
      </c>
      <c r="U87" s="456">
        <f t="shared" si="27"/>
        <v>0</v>
      </c>
    </row>
    <row r="88" spans="1:21" s="539" customFormat="1" ht="24" customHeight="1">
      <c r="A88" s="517" t="s">
        <v>515</v>
      </c>
      <c r="B88" s="516" t="s">
        <v>516</v>
      </c>
      <c r="C88" s="548">
        <f>D88+E88</f>
        <v>6950536</v>
      </c>
      <c r="D88" s="548">
        <v>6306675</v>
      </c>
      <c r="E88" s="548">
        <v>643861</v>
      </c>
      <c r="F88" s="548">
        <v>0</v>
      </c>
      <c r="G88" s="548">
        <v>0</v>
      </c>
      <c r="H88" s="548">
        <f>I88+R88</f>
        <v>6950536</v>
      </c>
      <c r="I88" s="548">
        <f>J88+K88+L88+M88+N88+O88+P88+Q88</f>
        <v>3518770</v>
      </c>
      <c r="J88" s="548">
        <v>150698</v>
      </c>
      <c r="K88" s="548">
        <v>1127399</v>
      </c>
      <c r="L88" s="548">
        <v>0</v>
      </c>
      <c r="M88" s="548">
        <v>2056199</v>
      </c>
      <c r="N88" s="548">
        <v>0</v>
      </c>
      <c r="O88" s="548">
        <v>0</v>
      </c>
      <c r="P88" s="548">
        <v>0</v>
      </c>
      <c r="Q88" s="549">
        <v>184474</v>
      </c>
      <c r="R88" s="550">
        <v>3431766</v>
      </c>
      <c r="S88" s="526">
        <f t="shared" si="28"/>
        <v>5672439</v>
      </c>
      <c r="T88" s="528">
        <f t="shared" si="26"/>
        <v>36.3222660190919</v>
      </c>
      <c r="U88" s="511">
        <f t="shared" si="27"/>
        <v>0</v>
      </c>
    </row>
    <row r="89" spans="1:21" s="539" customFormat="1" ht="24" customHeight="1">
      <c r="A89" s="517" t="s">
        <v>517</v>
      </c>
      <c r="B89" s="516" t="s">
        <v>518</v>
      </c>
      <c r="C89" s="548">
        <f>D89+E89</f>
        <v>3622918</v>
      </c>
      <c r="D89" s="548">
        <v>3597018</v>
      </c>
      <c r="E89" s="548">
        <v>25900</v>
      </c>
      <c r="F89" s="548">
        <v>0</v>
      </c>
      <c r="G89" s="548">
        <v>0</v>
      </c>
      <c r="H89" s="548">
        <f>I89+R89</f>
        <v>3622918</v>
      </c>
      <c r="I89" s="548">
        <f>J89+K89+L89+M89+N89+O89+P89+Q89</f>
        <v>3061496</v>
      </c>
      <c r="J89" s="548">
        <v>12200</v>
      </c>
      <c r="K89" s="548">
        <v>0</v>
      </c>
      <c r="L89" s="548">
        <v>0</v>
      </c>
      <c r="M89" s="548">
        <v>2994696</v>
      </c>
      <c r="N89" s="548">
        <v>0</v>
      </c>
      <c r="O89" s="548">
        <v>0</v>
      </c>
      <c r="P89" s="548">
        <v>0</v>
      </c>
      <c r="Q89" s="549">
        <v>54600</v>
      </c>
      <c r="R89" s="550">
        <v>561422</v>
      </c>
      <c r="S89" s="526">
        <f t="shared" si="28"/>
        <v>3610718</v>
      </c>
      <c r="T89" s="528">
        <f t="shared" si="26"/>
        <v>0.3984979892183429</v>
      </c>
      <c r="U89" s="511">
        <f t="shared" si="27"/>
        <v>0</v>
      </c>
    </row>
    <row r="90" spans="1:21" s="579" customFormat="1" ht="24" customHeight="1">
      <c r="A90" s="453">
        <v>12</v>
      </c>
      <c r="B90" s="455" t="s">
        <v>519</v>
      </c>
      <c r="C90" s="586">
        <f>C91+C92+C93</f>
        <v>28545282</v>
      </c>
      <c r="D90" s="586">
        <f aca="true" t="shared" si="30" ref="D90:R90">D91+D92+D93</f>
        <v>19532182</v>
      </c>
      <c r="E90" s="586">
        <f t="shared" si="30"/>
        <v>9013100</v>
      </c>
      <c r="F90" s="586">
        <f t="shared" si="30"/>
        <v>1278939</v>
      </c>
      <c r="G90" s="586">
        <f t="shared" si="30"/>
        <v>0</v>
      </c>
      <c r="H90" s="451">
        <f>I90+R90</f>
        <v>27266343</v>
      </c>
      <c r="I90" s="451">
        <f>SUM(J90:Q90)</f>
        <v>24755446</v>
      </c>
      <c r="J90" s="586">
        <f t="shared" si="30"/>
        <v>1932476</v>
      </c>
      <c r="K90" s="586">
        <f t="shared" si="30"/>
        <v>3207133</v>
      </c>
      <c r="L90" s="586">
        <f t="shared" si="30"/>
        <v>0</v>
      </c>
      <c r="M90" s="586">
        <f t="shared" si="30"/>
        <v>19615837</v>
      </c>
      <c r="N90" s="586">
        <f t="shared" si="30"/>
        <v>0</v>
      </c>
      <c r="O90" s="586">
        <f t="shared" si="30"/>
        <v>0</v>
      </c>
      <c r="P90" s="586">
        <f t="shared" si="30"/>
        <v>0</v>
      </c>
      <c r="Q90" s="586">
        <f t="shared" si="30"/>
        <v>0</v>
      </c>
      <c r="R90" s="586">
        <f t="shared" si="30"/>
        <v>2510897</v>
      </c>
      <c r="S90" s="577">
        <f t="shared" si="28"/>
        <v>22126734</v>
      </c>
      <c r="T90" s="578">
        <f t="shared" si="26"/>
        <v>20.761528594556527</v>
      </c>
      <c r="U90" s="456">
        <f t="shared" si="27"/>
        <v>0</v>
      </c>
    </row>
    <row r="91" spans="1:21" s="539" customFormat="1" ht="24" customHeight="1">
      <c r="A91" s="512">
        <v>12.1</v>
      </c>
      <c r="B91" s="516" t="s">
        <v>542</v>
      </c>
      <c r="C91" s="537">
        <f>D91+E91</f>
        <v>12410174</v>
      </c>
      <c r="D91" s="537">
        <v>10843794</v>
      </c>
      <c r="E91" s="537">
        <v>1566380</v>
      </c>
      <c r="F91" s="537">
        <v>0</v>
      </c>
      <c r="G91" s="537">
        <v>0</v>
      </c>
      <c r="H91" s="537">
        <f>C91-F91-G91</f>
        <v>12410174</v>
      </c>
      <c r="I91" s="537">
        <f>H91-R91</f>
        <v>10912886</v>
      </c>
      <c r="J91" s="537">
        <v>134106</v>
      </c>
      <c r="K91" s="537">
        <v>663862</v>
      </c>
      <c r="L91" s="537"/>
      <c r="M91" s="537">
        <f>I91-J91-K91-N91</f>
        <v>10114918</v>
      </c>
      <c r="N91" s="537"/>
      <c r="O91" s="537"/>
      <c r="P91" s="537"/>
      <c r="Q91" s="537"/>
      <c r="R91" s="537">
        <v>1497288</v>
      </c>
      <c r="S91" s="526">
        <f t="shared" si="28"/>
        <v>11612206</v>
      </c>
      <c r="T91" s="528">
        <f t="shared" si="26"/>
        <v>7.312162887067637</v>
      </c>
      <c r="U91" s="511">
        <f t="shared" si="27"/>
        <v>0</v>
      </c>
    </row>
    <row r="92" spans="1:21" s="539" customFormat="1" ht="24" customHeight="1">
      <c r="A92" s="512">
        <v>12.2</v>
      </c>
      <c r="B92" s="516" t="s">
        <v>520</v>
      </c>
      <c r="C92" s="537">
        <f>D92+E92</f>
        <v>8740683</v>
      </c>
      <c r="D92" s="537">
        <v>3181478</v>
      </c>
      <c r="E92" s="537">
        <v>5559205</v>
      </c>
      <c r="F92" s="537">
        <v>1275739</v>
      </c>
      <c r="G92" s="537">
        <v>0</v>
      </c>
      <c r="H92" s="537">
        <f>C92-F92-G92</f>
        <v>7464944</v>
      </c>
      <c r="I92" s="537">
        <f>H92-R92</f>
        <v>6860679</v>
      </c>
      <c r="J92" s="537">
        <v>1666835</v>
      </c>
      <c r="K92" s="537">
        <v>2543271</v>
      </c>
      <c r="L92" s="537"/>
      <c r="M92" s="537">
        <f>I92-J92-K92-N92</f>
        <v>2650573</v>
      </c>
      <c r="N92" s="537">
        <v>0</v>
      </c>
      <c r="O92" s="537"/>
      <c r="P92" s="537"/>
      <c r="Q92" s="537"/>
      <c r="R92" s="537">
        <v>604265</v>
      </c>
      <c r="S92" s="526">
        <f t="shared" si="28"/>
        <v>3254838</v>
      </c>
      <c r="T92" s="528">
        <f t="shared" si="26"/>
        <v>61.36573362490797</v>
      </c>
      <c r="U92" s="511">
        <f t="shared" si="27"/>
        <v>0</v>
      </c>
    </row>
    <row r="93" spans="1:21" s="539" customFormat="1" ht="24" customHeight="1">
      <c r="A93" s="512">
        <v>12.3</v>
      </c>
      <c r="B93" s="516" t="s">
        <v>577</v>
      </c>
      <c r="C93" s="537">
        <f>D93+E93</f>
        <v>7394425</v>
      </c>
      <c r="D93" s="537">
        <v>5506910</v>
      </c>
      <c r="E93" s="537">
        <v>1887515</v>
      </c>
      <c r="F93" s="537">
        <v>3200</v>
      </c>
      <c r="G93" s="537"/>
      <c r="H93" s="537">
        <f>C93-F93-G93</f>
        <v>7391225</v>
      </c>
      <c r="I93" s="537">
        <f>H93-R93</f>
        <v>6981881</v>
      </c>
      <c r="J93" s="537">
        <v>131535</v>
      </c>
      <c r="K93" s="537">
        <v>0</v>
      </c>
      <c r="L93" s="537"/>
      <c r="M93" s="537">
        <f>I93-J93-K93-N93</f>
        <v>6850346</v>
      </c>
      <c r="N93" s="537"/>
      <c r="O93" s="537"/>
      <c r="P93" s="537"/>
      <c r="Q93" s="537"/>
      <c r="R93" s="537">
        <v>409344</v>
      </c>
      <c r="S93" s="526">
        <f t="shared" si="28"/>
        <v>7259690</v>
      </c>
      <c r="T93" s="528">
        <f t="shared" si="26"/>
        <v>1.883947893125076</v>
      </c>
      <c r="U93" s="511">
        <f t="shared" si="27"/>
        <v>0</v>
      </c>
    </row>
    <row r="94" spans="1:21" s="579" customFormat="1" ht="24" customHeight="1">
      <c r="A94" s="453">
        <v>13</v>
      </c>
      <c r="B94" s="455" t="s">
        <v>521</v>
      </c>
      <c r="C94" s="583">
        <f>SUM(C95:C105)</f>
        <v>514694810</v>
      </c>
      <c r="D94" s="583">
        <f aca="true" t="shared" si="31" ref="D94:R94">SUM(D95:D105)</f>
        <v>394283023</v>
      </c>
      <c r="E94" s="583">
        <f t="shared" si="31"/>
        <v>120411787</v>
      </c>
      <c r="F94" s="583">
        <f t="shared" si="31"/>
        <v>5200</v>
      </c>
      <c r="G94" s="583">
        <f t="shared" si="31"/>
        <v>4538443</v>
      </c>
      <c r="H94" s="451">
        <f>I94+R94</f>
        <v>514689610</v>
      </c>
      <c r="I94" s="451">
        <f>SUM(J94:Q94)</f>
        <v>491972200</v>
      </c>
      <c r="J94" s="583">
        <f t="shared" si="31"/>
        <v>21769447</v>
      </c>
      <c r="K94" s="583">
        <f t="shared" si="31"/>
        <v>6083164</v>
      </c>
      <c r="L94" s="583">
        <f t="shared" si="31"/>
        <v>0</v>
      </c>
      <c r="M94" s="583">
        <f t="shared" si="31"/>
        <v>451667621</v>
      </c>
      <c r="N94" s="583">
        <f t="shared" si="31"/>
        <v>0</v>
      </c>
      <c r="O94" s="583">
        <f t="shared" si="31"/>
        <v>12451968</v>
      </c>
      <c r="P94" s="583">
        <f t="shared" si="31"/>
        <v>0</v>
      </c>
      <c r="Q94" s="583">
        <f t="shared" si="31"/>
        <v>0</v>
      </c>
      <c r="R94" s="583">
        <f t="shared" si="31"/>
        <v>22717410</v>
      </c>
      <c r="S94" s="577">
        <f t="shared" si="28"/>
        <v>486836999</v>
      </c>
      <c r="T94" s="578">
        <f t="shared" si="26"/>
        <v>5.661419689974352</v>
      </c>
      <c r="U94" s="456">
        <f t="shared" si="27"/>
        <v>0</v>
      </c>
    </row>
    <row r="95" spans="1:21" s="539" customFormat="1" ht="24" customHeight="1">
      <c r="A95" s="512">
        <v>13.1</v>
      </c>
      <c r="B95" s="522" t="s">
        <v>522</v>
      </c>
      <c r="C95" s="544">
        <f>D95+E95</f>
        <v>44428143</v>
      </c>
      <c r="D95" s="544">
        <v>657558</v>
      </c>
      <c r="E95" s="544">
        <v>43770585</v>
      </c>
      <c r="F95" s="544">
        <v>2000</v>
      </c>
      <c r="G95" s="544">
        <v>0</v>
      </c>
      <c r="H95" s="544">
        <f>I95+R95</f>
        <v>44426143</v>
      </c>
      <c r="I95" s="544">
        <f>J95+K95+L95+M95+N95+O95+P95+Q95</f>
        <v>44422329</v>
      </c>
      <c r="J95" s="544">
        <v>1161380</v>
      </c>
      <c r="K95" s="544">
        <v>0</v>
      </c>
      <c r="L95" s="544"/>
      <c r="M95" s="544">
        <v>43260949</v>
      </c>
      <c r="N95" s="544"/>
      <c r="O95" s="544"/>
      <c r="P95" s="544"/>
      <c r="Q95" s="544"/>
      <c r="R95" s="545">
        <v>3814</v>
      </c>
      <c r="S95" s="526">
        <f t="shared" si="28"/>
        <v>43264763</v>
      </c>
      <c r="T95" s="528">
        <f t="shared" si="26"/>
        <v>2.614405921850698</v>
      </c>
      <c r="U95" s="511">
        <f t="shared" si="27"/>
        <v>0</v>
      </c>
    </row>
    <row r="96" spans="1:21" s="539" customFormat="1" ht="24" customHeight="1">
      <c r="A96" s="512">
        <v>13.2</v>
      </c>
      <c r="B96" s="522" t="s">
        <v>523</v>
      </c>
      <c r="C96" s="544">
        <f aca="true" t="shared" si="32" ref="C96:C105">D96+E96</f>
        <v>50156992</v>
      </c>
      <c r="D96" s="544">
        <v>49197224</v>
      </c>
      <c r="E96" s="544">
        <v>959768</v>
      </c>
      <c r="F96" s="544">
        <v>0</v>
      </c>
      <c r="G96" s="544">
        <v>0</v>
      </c>
      <c r="H96" s="544">
        <f aca="true" t="shared" si="33" ref="H96:H105">I96+R96</f>
        <v>50156992</v>
      </c>
      <c r="I96" s="544">
        <f aca="true" t="shared" si="34" ref="I96:I105">J96+K96+L96+M96+N96+O96+P96+Q96</f>
        <v>44273234</v>
      </c>
      <c r="J96" s="544">
        <v>1437062</v>
      </c>
      <c r="K96" s="544">
        <v>913952</v>
      </c>
      <c r="L96" s="544"/>
      <c r="M96" s="544">
        <v>41922220</v>
      </c>
      <c r="N96" s="544"/>
      <c r="O96" s="544"/>
      <c r="P96" s="544"/>
      <c r="Q96" s="544"/>
      <c r="R96" s="545">
        <v>5883758</v>
      </c>
      <c r="S96" s="526">
        <f t="shared" si="28"/>
        <v>47805978</v>
      </c>
      <c r="T96" s="528">
        <f t="shared" si="26"/>
        <v>5.310237783849266</v>
      </c>
      <c r="U96" s="511">
        <f t="shared" si="27"/>
        <v>0</v>
      </c>
    </row>
    <row r="97" spans="1:21" s="539" customFormat="1" ht="24" customHeight="1">
      <c r="A97" s="512">
        <v>13.3</v>
      </c>
      <c r="B97" s="522" t="s">
        <v>550</v>
      </c>
      <c r="C97" s="544">
        <f t="shared" si="32"/>
        <v>104404721</v>
      </c>
      <c r="D97" s="544">
        <v>76222855</v>
      </c>
      <c r="E97" s="544">
        <v>28181866</v>
      </c>
      <c r="F97" s="544">
        <v>0</v>
      </c>
      <c r="G97" s="544">
        <v>0</v>
      </c>
      <c r="H97" s="544">
        <f t="shared" si="33"/>
        <v>104404721</v>
      </c>
      <c r="I97" s="544">
        <f t="shared" si="34"/>
        <v>100645539</v>
      </c>
      <c r="J97" s="544">
        <v>4219883</v>
      </c>
      <c r="K97" s="544">
        <v>2643140</v>
      </c>
      <c r="L97" s="544"/>
      <c r="M97" s="544">
        <v>93782516</v>
      </c>
      <c r="N97" s="544"/>
      <c r="O97" s="544"/>
      <c r="P97" s="544"/>
      <c r="Q97" s="544"/>
      <c r="R97" s="545">
        <v>3759182</v>
      </c>
      <c r="S97" s="526">
        <f t="shared" si="28"/>
        <v>97541698</v>
      </c>
      <c r="T97" s="528">
        <f t="shared" si="26"/>
        <v>6.8190036718865406</v>
      </c>
      <c r="U97" s="511">
        <f t="shared" si="27"/>
        <v>0</v>
      </c>
    </row>
    <row r="98" spans="1:21" s="539" customFormat="1" ht="24" customHeight="1">
      <c r="A98" s="512">
        <v>13.4</v>
      </c>
      <c r="B98" s="523" t="s">
        <v>551</v>
      </c>
      <c r="C98" s="544">
        <f t="shared" si="32"/>
        <v>62766446</v>
      </c>
      <c r="D98" s="544">
        <v>61558488</v>
      </c>
      <c r="E98" s="544">
        <v>1207958</v>
      </c>
      <c r="F98" s="544">
        <v>0</v>
      </c>
      <c r="G98" s="544">
        <v>0</v>
      </c>
      <c r="H98" s="544">
        <f t="shared" si="33"/>
        <v>62766446</v>
      </c>
      <c r="I98" s="544">
        <f t="shared" si="34"/>
        <v>61521745</v>
      </c>
      <c r="J98" s="544">
        <v>3088790</v>
      </c>
      <c r="K98" s="544">
        <v>553500</v>
      </c>
      <c r="L98" s="544"/>
      <c r="M98" s="544">
        <v>57879455</v>
      </c>
      <c r="N98" s="544"/>
      <c r="O98" s="544"/>
      <c r="P98" s="544"/>
      <c r="Q98" s="544"/>
      <c r="R98" s="545">
        <v>1244701</v>
      </c>
      <c r="S98" s="526">
        <f t="shared" si="28"/>
        <v>59124156</v>
      </c>
      <c r="T98" s="528">
        <f t="shared" si="26"/>
        <v>5.920329470498602</v>
      </c>
      <c r="U98" s="511">
        <f t="shared" si="27"/>
        <v>0</v>
      </c>
    </row>
    <row r="99" spans="1:21" s="539" customFormat="1" ht="24" customHeight="1">
      <c r="A99" s="512">
        <v>13.5</v>
      </c>
      <c r="B99" s="524" t="s">
        <v>552</v>
      </c>
      <c r="C99" s="544">
        <f t="shared" si="32"/>
        <v>37312749</v>
      </c>
      <c r="D99" s="544">
        <f>39212596-4538443</f>
        <v>34674153</v>
      </c>
      <c r="E99" s="544">
        <v>2638596</v>
      </c>
      <c r="F99" s="544">
        <v>0</v>
      </c>
      <c r="G99" s="544">
        <v>4538443</v>
      </c>
      <c r="H99" s="544">
        <f t="shared" si="33"/>
        <v>37312749</v>
      </c>
      <c r="I99" s="544">
        <f>J99+K99+L99+M99+N99+O99+P99+Q99</f>
        <v>36590842</v>
      </c>
      <c r="J99" s="544">
        <v>398926</v>
      </c>
      <c r="K99" s="544">
        <v>44996</v>
      </c>
      <c r="L99" s="544"/>
      <c r="M99" s="544">
        <v>23694952</v>
      </c>
      <c r="N99" s="544"/>
      <c r="O99" s="544">
        <v>12451968</v>
      </c>
      <c r="P99" s="544"/>
      <c r="Q99" s="544"/>
      <c r="R99" s="545">
        <v>721907</v>
      </c>
      <c r="S99" s="526">
        <f t="shared" si="28"/>
        <v>36868827</v>
      </c>
      <c r="T99" s="528">
        <f t="shared" si="26"/>
        <v>1.2132052058271847</v>
      </c>
      <c r="U99" s="511">
        <f t="shared" si="27"/>
        <v>0</v>
      </c>
    </row>
    <row r="100" spans="1:21" s="539" customFormat="1" ht="24" customHeight="1">
      <c r="A100" s="512">
        <v>13.6</v>
      </c>
      <c r="B100" s="524" t="s">
        <v>553</v>
      </c>
      <c r="C100" s="544">
        <f t="shared" si="32"/>
        <v>50603800</v>
      </c>
      <c r="D100" s="544">
        <v>47373610</v>
      </c>
      <c r="E100" s="544">
        <v>3230190</v>
      </c>
      <c r="F100" s="544">
        <v>0</v>
      </c>
      <c r="G100" s="544">
        <v>0</v>
      </c>
      <c r="H100" s="544">
        <f t="shared" si="33"/>
        <v>50603800</v>
      </c>
      <c r="I100" s="544">
        <f t="shared" si="34"/>
        <v>48025477</v>
      </c>
      <c r="J100" s="544">
        <v>3988200</v>
      </c>
      <c r="K100" s="544">
        <v>999696</v>
      </c>
      <c r="L100" s="544"/>
      <c r="M100" s="544">
        <v>43037581</v>
      </c>
      <c r="N100" s="544"/>
      <c r="O100" s="544"/>
      <c r="P100" s="544"/>
      <c r="Q100" s="544"/>
      <c r="R100" s="545">
        <v>2578323</v>
      </c>
      <c r="S100" s="526">
        <f t="shared" si="28"/>
        <v>45615904</v>
      </c>
      <c r="T100" s="528">
        <f t="shared" si="26"/>
        <v>10.385937447326135</v>
      </c>
      <c r="U100" s="511">
        <f t="shared" si="27"/>
        <v>0</v>
      </c>
    </row>
    <row r="101" spans="1:21" s="539" customFormat="1" ht="24" customHeight="1">
      <c r="A101" s="512">
        <v>13.7</v>
      </c>
      <c r="B101" s="524" t="s">
        <v>554</v>
      </c>
      <c r="C101" s="544">
        <f t="shared" si="32"/>
        <v>26400523</v>
      </c>
      <c r="D101" s="544">
        <v>24385350</v>
      </c>
      <c r="E101" s="544">
        <v>2015173</v>
      </c>
      <c r="F101" s="544">
        <v>0</v>
      </c>
      <c r="G101" s="544">
        <v>0</v>
      </c>
      <c r="H101" s="544">
        <f t="shared" si="33"/>
        <v>26400523</v>
      </c>
      <c r="I101" s="544">
        <f t="shared" si="34"/>
        <v>25201624</v>
      </c>
      <c r="J101" s="544">
        <v>4571444</v>
      </c>
      <c r="K101" s="544">
        <v>447837</v>
      </c>
      <c r="L101" s="544"/>
      <c r="M101" s="544">
        <v>20182343</v>
      </c>
      <c r="N101" s="544"/>
      <c r="O101" s="544"/>
      <c r="P101" s="544"/>
      <c r="Q101" s="544"/>
      <c r="R101" s="545">
        <v>1198899</v>
      </c>
      <c r="S101" s="526">
        <f t="shared" si="28"/>
        <v>21381242</v>
      </c>
      <c r="T101" s="528">
        <f t="shared" si="26"/>
        <v>19.916498238367495</v>
      </c>
      <c r="U101" s="511">
        <f t="shared" si="27"/>
        <v>0</v>
      </c>
    </row>
    <row r="102" spans="1:21" s="539" customFormat="1" ht="24" customHeight="1">
      <c r="A102" s="512">
        <v>13.8</v>
      </c>
      <c r="B102" s="522" t="s">
        <v>555</v>
      </c>
      <c r="C102" s="544">
        <f t="shared" si="32"/>
        <v>48066273</v>
      </c>
      <c r="D102" s="544">
        <v>46446212</v>
      </c>
      <c r="E102" s="544">
        <v>1620061</v>
      </c>
      <c r="F102" s="544">
        <v>0</v>
      </c>
      <c r="G102" s="544">
        <v>0</v>
      </c>
      <c r="H102" s="544">
        <f t="shared" si="33"/>
        <v>48066273</v>
      </c>
      <c r="I102" s="544">
        <f t="shared" si="34"/>
        <v>46205326</v>
      </c>
      <c r="J102" s="544">
        <v>2343425</v>
      </c>
      <c r="K102" s="544">
        <v>442345</v>
      </c>
      <c r="L102" s="544"/>
      <c r="M102" s="544">
        <v>43419556</v>
      </c>
      <c r="N102" s="544"/>
      <c r="O102" s="544"/>
      <c r="P102" s="544"/>
      <c r="Q102" s="544"/>
      <c r="R102" s="545">
        <v>1860947</v>
      </c>
      <c r="S102" s="526">
        <f t="shared" si="28"/>
        <v>45280503</v>
      </c>
      <c r="T102" s="528">
        <f t="shared" si="26"/>
        <v>6.029110150635016</v>
      </c>
      <c r="U102" s="511">
        <f t="shared" si="27"/>
        <v>0</v>
      </c>
    </row>
    <row r="103" spans="1:21" s="539" customFormat="1" ht="24" customHeight="1">
      <c r="A103" s="512">
        <v>13.9</v>
      </c>
      <c r="B103" s="522" t="s">
        <v>556</v>
      </c>
      <c r="C103" s="544">
        <f t="shared" si="32"/>
        <v>13886472</v>
      </c>
      <c r="D103" s="544">
        <v>9217670</v>
      </c>
      <c r="E103" s="544">
        <v>4668802</v>
      </c>
      <c r="F103" s="544">
        <v>3200</v>
      </c>
      <c r="G103" s="544">
        <v>0</v>
      </c>
      <c r="H103" s="544">
        <f t="shared" si="33"/>
        <v>13883272</v>
      </c>
      <c r="I103" s="544">
        <f t="shared" si="34"/>
        <v>11147462</v>
      </c>
      <c r="J103" s="544">
        <v>131992</v>
      </c>
      <c r="K103" s="544">
        <v>6812</v>
      </c>
      <c r="L103" s="544"/>
      <c r="M103" s="544">
        <v>11008658</v>
      </c>
      <c r="N103" s="544"/>
      <c r="O103" s="544"/>
      <c r="P103" s="544"/>
      <c r="Q103" s="544"/>
      <c r="R103" s="545">
        <v>2735810</v>
      </c>
      <c r="S103" s="526">
        <f t="shared" si="28"/>
        <v>13744468</v>
      </c>
      <c r="T103" s="528">
        <f t="shared" si="26"/>
        <v>1.245162351753251</v>
      </c>
      <c r="U103" s="511">
        <f t="shared" si="27"/>
        <v>0</v>
      </c>
    </row>
    <row r="104" spans="1:21" s="539" customFormat="1" ht="24" customHeight="1">
      <c r="A104" s="512" t="s">
        <v>557</v>
      </c>
      <c r="B104" s="522" t="s">
        <v>558</v>
      </c>
      <c r="C104" s="544">
        <f t="shared" si="32"/>
        <v>52058010</v>
      </c>
      <c r="D104" s="544">
        <v>35184760</v>
      </c>
      <c r="E104" s="544">
        <v>16873250</v>
      </c>
      <c r="F104" s="544">
        <v>0</v>
      </c>
      <c r="G104" s="544">
        <v>0</v>
      </c>
      <c r="H104" s="544">
        <f t="shared" si="33"/>
        <v>52058010</v>
      </c>
      <c r="I104" s="544">
        <f t="shared" si="34"/>
        <v>50200697</v>
      </c>
      <c r="J104" s="544">
        <v>332063</v>
      </c>
      <c r="K104" s="544">
        <v>20050</v>
      </c>
      <c r="L104" s="544"/>
      <c r="M104" s="544">
        <v>49848584</v>
      </c>
      <c r="N104" s="544"/>
      <c r="O104" s="544"/>
      <c r="P104" s="544"/>
      <c r="Q104" s="544"/>
      <c r="R104" s="545">
        <v>1857313</v>
      </c>
      <c r="S104" s="526">
        <f t="shared" si="28"/>
        <v>51705897</v>
      </c>
      <c r="T104" s="528">
        <f t="shared" si="26"/>
        <v>0.7014105800164488</v>
      </c>
      <c r="U104" s="511">
        <f t="shared" si="27"/>
        <v>0</v>
      </c>
    </row>
    <row r="105" spans="1:21" s="539" customFormat="1" ht="24" customHeight="1">
      <c r="A105" s="512" t="s">
        <v>559</v>
      </c>
      <c r="B105" s="522" t="s">
        <v>463</v>
      </c>
      <c r="C105" s="544">
        <f t="shared" si="32"/>
        <v>24610681</v>
      </c>
      <c r="D105" s="544">
        <v>9365143</v>
      </c>
      <c r="E105" s="544">
        <v>15245538</v>
      </c>
      <c r="F105" s="544">
        <v>0</v>
      </c>
      <c r="G105" s="544">
        <v>0</v>
      </c>
      <c r="H105" s="544">
        <f t="shared" si="33"/>
        <v>24610681</v>
      </c>
      <c r="I105" s="544">
        <f t="shared" si="34"/>
        <v>23737925</v>
      </c>
      <c r="J105" s="544">
        <v>96282</v>
      </c>
      <c r="K105" s="544">
        <v>10836</v>
      </c>
      <c r="L105" s="544"/>
      <c r="M105" s="544">
        <v>23630807</v>
      </c>
      <c r="N105" s="544"/>
      <c r="O105" s="544"/>
      <c r="P105" s="544"/>
      <c r="Q105" s="544"/>
      <c r="R105" s="545">
        <v>872756</v>
      </c>
      <c r="S105" s="526">
        <f t="shared" si="28"/>
        <v>24503563</v>
      </c>
      <c r="T105" s="528">
        <f t="shared" si="26"/>
        <v>0.4512525842086029</v>
      </c>
      <c r="U105" s="511">
        <f t="shared" si="27"/>
        <v>0</v>
      </c>
    </row>
    <row r="106" spans="1:21" s="579" customFormat="1" ht="24" customHeight="1">
      <c r="A106" s="453">
        <v>14</v>
      </c>
      <c r="B106" s="455" t="s">
        <v>524</v>
      </c>
      <c r="C106" s="586">
        <f>C107+C108</f>
        <v>17516529</v>
      </c>
      <c r="D106" s="586">
        <f aca="true" t="shared" si="35" ref="D106:R106">D107+D108</f>
        <v>11138374</v>
      </c>
      <c r="E106" s="586">
        <f t="shared" si="35"/>
        <v>6378155</v>
      </c>
      <c r="F106" s="586">
        <f t="shared" si="35"/>
        <v>1574250</v>
      </c>
      <c r="G106" s="586">
        <f t="shared" si="35"/>
        <v>0</v>
      </c>
      <c r="H106" s="451">
        <f>I106+R106</f>
        <v>15942279</v>
      </c>
      <c r="I106" s="451">
        <f>SUM(J106:Q106)</f>
        <v>9534165</v>
      </c>
      <c r="J106" s="586">
        <f t="shared" si="35"/>
        <v>1240093</v>
      </c>
      <c r="K106" s="586">
        <f t="shared" si="35"/>
        <v>5623</v>
      </c>
      <c r="L106" s="586">
        <f t="shared" si="35"/>
        <v>0</v>
      </c>
      <c r="M106" s="586">
        <f t="shared" si="35"/>
        <v>8288449</v>
      </c>
      <c r="N106" s="586">
        <f t="shared" si="35"/>
        <v>0</v>
      </c>
      <c r="O106" s="586">
        <f t="shared" si="35"/>
        <v>0</v>
      </c>
      <c r="P106" s="586">
        <f t="shared" si="35"/>
        <v>0</v>
      </c>
      <c r="Q106" s="586">
        <f t="shared" si="35"/>
        <v>0</v>
      </c>
      <c r="R106" s="586">
        <f t="shared" si="35"/>
        <v>6408114</v>
      </c>
      <c r="S106" s="577">
        <f t="shared" si="28"/>
        <v>14696563</v>
      </c>
      <c r="T106" s="578">
        <f t="shared" si="26"/>
        <v>13.065811216818673</v>
      </c>
      <c r="U106" s="456">
        <f t="shared" si="27"/>
        <v>0</v>
      </c>
    </row>
    <row r="107" spans="1:21" s="539" customFormat="1" ht="24" customHeight="1">
      <c r="A107" s="517" t="s">
        <v>525</v>
      </c>
      <c r="B107" s="516" t="s">
        <v>526</v>
      </c>
      <c r="C107" s="531">
        <f>D107+E107</f>
        <v>8863347</v>
      </c>
      <c r="D107" s="531">
        <v>6111241</v>
      </c>
      <c r="E107" s="531">
        <v>2752106</v>
      </c>
      <c r="F107" s="531">
        <v>958474</v>
      </c>
      <c r="G107" s="531">
        <v>0</v>
      </c>
      <c r="H107" s="531">
        <f>I107+R107</f>
        <v>7904873</v>
      </c>
      <c r="I107" s="531">
        <f>SUM(J107,K107,L107,M107,N107,O107,P107,Q107)</f>
        <v>2167844</v>
      </c>
      <c r="J107" s="531">
        <v>318254</v>
      </c>
      <c r="K107" s="531">
        <v>674</v>
      </c>
      <c r="L107" s="531">
        <v>0</v>
      </c>
      <c r="M107" s="531">
        <v>1848916</v>
      </c>
      <c r="N107" s="531">
        <v>0</v>
      </c>
      <c r="O107" s="556">
        <v>0</v>
      </c>
      <c r="P107" s="557">
        <v>0</v>
      </c>
      <c r="Q107" s="556">
        <v>0</v>
      </c>
      <c r="R107" s="558">
        <v>5737029</v>
      </c>
      <c r="S107" s="526">
        <f t="shared" si="28"/>
        <v>7585945</v>
      </c>
      <c r="T107" s="528">
        <f t="shared" si="26"/>
        <v>14.7117597022664</v>
      </c>
      <c r="U107" s="511">
        <f t="shared" si="27"/>
        <v>0</v>
      </c>
    </row>
    <row r="108" spans="1:21" s="539" customFormat="1" ht="24" customHeight="1">
      <c r="A108" s="517" t="s">
        <v>527</v>
      </c>
      <c r="B108" s="516" t="s">
        <v>528</v>
      </c>
      <c r="C108" s="518">
        <f>D108+E108</f>
        <v>8653182</v>
      </c>
      <c r="D108" s="518">
        <v>5027133</v>
      </c>
      <c r="E108" s="518">
        <v>3626049</v>
      </c>
      <c r="F108" s="518">
        <v>615776</v>
      </c>
      <c r="G108" s="518">
        <v>0</v>
      </c>
      <c r="H108" s="531">
        <f>I108+R108</f>
        <v>8037406</v>
      </c>
      <c r="I108" s="518">
        <f>SUM(J108,K108,L108,M108,N108,O108,P108,Q108)</f>
        <v>7366321</v>
      </c>
      <c r="J108" s="518">
        <v>921839</v>
      </c>
      <c r="K108" s="518">
        <v>4949</v>
      </c>
      <c r="L108" s="518">
        <v>0</v>
      </c>
      <c r="M108" s="518">
        <v>6439533</v>
      </c>
      <c r="N108" s="518">
        <v>0</v>
      </c>
      <c r="O108" s="519">
        <v>0</v>
      </c>
      <c r="P108" s="559">
        <v>0</v>
      </c>
      <c r="Q108" s="519">
        <v>0</v>
      </c>
      <c r="R108" s="558">
        <v>671085</v>
      </c>
      <c r="S108" s="526">
        <f t="shared" si="28"/>
        <v>7110618</v>
      </c>
      <c r="T108" s="528">
        <f t="shared" si="26"/>
        <v>12.581422938261856</v>
      </c>
      <c r="U108" s="511">
        <f t="shared" si="27"/>
        <v>0</v>
      </c>
    </row>
    <row r="109" spans="1:21" s="579" customFormat="1" ht="24" customHeight="1">
      <c r="A109" s="453">
        <v>15</v>
      </c>
      <c r="B109" s="455" t="s">
        <v>529</v>
      </c>
      <c r="C109" s="589">
        <f>C110+C111+C112+C113</f>
        <v>49352191</v>
      </c>
      <c r="D109" s="589">
        <f>D110+D111+D112+D113</f>
        <v>16756890</v>
      </c>
      <c r="E109" s="589">
        <f aca="true" t="shared" si="36" ref="E109:R109">E110+E111+E112+E113</f>
        <v>32595301</v>
      </c>
      <c r="F109" s="589">
        <f t="shared" si="36"/>
        <v>1135457</v>
      </c>
      <c r="G109" s="589">
        <f t="shared" si="36"/>
        <v>0</v>
      </c>
      <c r="H109" s="451">
        <f>I109+R109</f>
        <v>48216734</v>
      </c>
      <c r="I109" s="451">
        <f>SUM(J109:Q109)</f>
        <v>46515724</v>
      </c>
      <c r="J109" s="589">
        <f t="shared" si="36"/>
        <v>306054</v>
      </c>
      <c r="K109" s="589">
        <f t="shared" si="36"/>
        <v>0</v>
      </c>
      <c r="L109" s="589">
        <f t="shared" si="36"/>
        <v>0</v>
      </c>
      <c r="M109" s="589">
        <f t="shared" si="36"/>
        <v>45034125</v>
      </c>
      <c r="N109" s="589">
        <f t="shared" si="36"/>
        <v>305307</v>
      </c>
      <c r="O109" s="589">
        <f t="shared" si="36"/>
        <v>0</v>
      </c>
      <c r="P109" s="589">
        <f t="shared" si="36"/>
        <v>0</v>
      </c>
      <c r="Q109" s="589">
        <f t="shared" si="36"/>
        <v>870238</v>
      </c>
      <c r="R109" s="589">
        <f t="shared" si="36"/>
        <v>1701010</v>
      </c>
      <c r="S109" s="577">
        <f t="shared" si="28"/>
        <v>47910680</v>
      </c>
      <c r="T109" s="578">
        <f t="shared" si="26"/>
        <v>0.657958156257011</v>
      </c>
      <c r="U109" s="456">
        <f t="shared" si="27"/>
        <v>0</v>
      </c>
    </row>
    <row r="110" spans="1:21" s="539" customFormat="1" ht="24" customHeight="1">
      <c r="A110" s="512">
        <v>15.1</v>
      </c>
      <c r="B110" s="514" t="s">
        <v>530</v>
      </c>
      <c r="C110" s="538">
        <f>D110+E110</f>
        <v>11654292</v>
      </c>
      <c r="D110" s="538">
        <v>7074260</v>
      </c>
      <c r="E110" s="538">
        <v>4580032</v>
      </c>
      <c r="F110" s="538">
        <v>0</v>
      </c>
      <c r="G110" s="538">
        <v>0</v>
      </c>
      <c r="H110" s="538">
        <f>C110-F110</f>
        <v>11654292</v>
      </c>
      <c r="I110" s="538">
        <f>H110-R110</f>
        <v>11636492</v>
      </c>
      <c r="J110" s="538">
        <v>156300</v>
      </c>
      <c r="K110" s="538">
        <v>0</v>
      </c>
      <c r="L110" s="538">
        <v>0</v>
      </c>
      <c r="M110" s="538">
        <f>I110-J110-K110-L110-N110-O110-P110-Q110</f>
        <v>11480192</v>
      </c>
      <c r="N110" s="538">
        <v>0</v>
      </c>
      <c r="O110" s="538">
        <v>0</v>
      </c>
      <c r="P110" s="538">
        <v>0</v>
      </c>
      <c r="Q110" s="560">
        <v>0</v>
      </c>
      <c r="R110" s="561">
        <v>17800</v>
      </c>
      <c r="S110" s="526">
        <f t="shared" si="28"/>
        <v>11497992</v>
      </c>
      <c r="T110" s="528">
        <f t="shared" si="26"/>
        <v>1.343188307953978</v>
      </c>
      <c r="U110" s="511">
        <f t="shared" si="27"/>
        <v>0</v>
      </c>
    </row>
    <row r="111" spans="1:21" s="539" customFormat="1" ht="24" customHeight="1">
      <c r="A111" s="512">
        <v>15.2</v>
      </c>
      <c r="B111" s="514" t="s">
        <v>560</v>
      </c>
      <c r="C111" s="538">
        <f>D111+E111</f>
        <v>9589532</v>
      </c>
      <c r="D111" s="538">
        <v>5481803</v>
      </c>
      <c r="E111" s="538">
        <v>4107729</v>
      </c>
      <c r="F111" s="538">
        <v>2271</v>
      </c>
      <c r="G111" s="538">
        <v>0</v>
      </c>
      <c r="H111" s="538">
        <f>C111-F111</f>
        <v>9587261</v>
      </c>
      <c r="I111" s="538">
        <f>H111-R111</f>
        <v>8885407</v>
      </c>
      <c r="J111" s="538">
        <v>47736</v>
      </c>
      <c r="K111" s="538">
        <v>0</v>
      </c>
      <c r="L111" s="538">
        <v>0</v>
      </c>
      <c r="M111" s="538">
        <f>I111-J111-K111-L111-N111-O111-P111-Q111</f>
        <v>8837671</v>
      </c>
      <c r="N111" s="538">
        <v>0</v>
      </c>
      <c r="O111" s="538">
        <v>0</v>
      </c>
      <c r="P111" s="538">
        <v>0</v>
      </c>
      <c r="Q111" s="560">
        <v>0</v>
      </c>
      <c r="R111" s="561">
        <v>701854</v>
      </c>
      <c r="S111" s="526">
        <f t="shared" si="28"/>
        <v>9539525</v>
      </c>
      <c r="T111" s="528">
        <f t="shared" si="26"/>
        <v>0.537240443797341</v>
      </c>
      <c r="U111" s="511">
        <f t="shared" si="27"/>
        <v>0</v>
      </c>
    </row>
    <row r="112" spans="1:21" s="539" customFormat="1" ht="24" customHeight="1">
      <c r="A112" s="512">
        <v>15.3</v>
      </c>
      <c r="B112" s="514" t="s">
        <v>562</v>
      </c>
      <c r="C112" s="538">
        <f>D112+E112</f>
        <v>25604112</v>
      </c>
      <c r="D112" s="538">
        <v>2661574</v>
      </c>
      <c r="E112" s="538">
        <v>22942538</v>
      </c>
      <c r="F112" s="538">
        <v>1133186</v>
      </c>
      <c r="G112" s="538">
        <v>0</v>
      </c>
      <c r="H112" s="538">
        <f>C112-F112</f>
        <v>24470926</v>
      </c>
      <c r="I112" s="538">
        <f>H112-R112</f>
        <v>23754418</v>
      </c>
      <c r="J112" s="538">
        <v>15200</v>
      </c>
      <c r="K112" s="538">
        <v>0</v>
      </c>
      <c r="L112" s="538">
        <v>0</v>
      </c>
      <c r="M112" s="538">
        <f>I112-J112-K112-L112-N112-O112-P112-Q112</f>
        <v>22563673</v>
      </c>
      <c r="N112" s="538">
        <v>305307</v>
      </c>
      <c r="O112" s="538">
        <v>0</v>
      </c>
      <c r="P112" s="538">
        <v>0</v>
      </c>
      <c r="Q112" s="560">
        <v>870238</v>
      </c>
      <c r="R112" s="561">
        <v>716508</v>
      </c>
      <c r="S112" s="526">
        <f t="shared" si="28"/>
        <v>24455726</v>
      </c>
      <c r="T112" s="528">
        <f t="shared" si="26"/>
        <v>0.06398809686686494</v>
      </c>
      <c r="U112" s="511">
        <f t="shared" si="27"/>
        <v>0</v>
      </c>
    </row>
    <row r="113" spans="1:21" s="539" customFormat="1" ht="24" customHeight="1">
      <c r="A113" s="512">
        <v>15.4</v>
      </c>
      <c r="B113" s="514" t="s">
        <v>561</v>
      </c>
      <c r="C113" s="538">
        <f>D113+E113</f>
        <v>2504255</v>
      </c>
      <c r="D113" s="538">
        <v>1539253</v>
      </c>
      <c r="E113" s="538">
        <v>965002</v>
      </c>
      <c r="F113" s="538">
        <v>0</v>
      </c>
      <c r="G113" s="538">
        <v>0</v>
      </c>
      <c r="H113" s="538">
        <f>C113-F113</f>
        <v>2504255</v>
      </c>
      <c r="I113" s="538">
        <f>H113-R113</f>
        <v>2239407</v>
      </c>
      <c r="J113" s="538">
        <v>86818</v>
      </c>
      <c r="K113" s="538">
        <v>0</v>
      </c>
      <c r="L113" s="538">
        <v>0</v>
      </c>
      <c r="M113" s="538">
        <f>I113-J113-K113-L113-N113-O113-P113-Q113</f>
        <v>2152589</v>
      </c>
      <c r="N113" s="538">
        <v>0</v>
      </c>
      <c r="O113" s="538">
        <v>0</v>
      </c>
      <c r="P113" s="538">
        <v>0</v>
      </c>
      <c r="Q113" s="560">
        <v>0</v>
      </c>
      <c r="R113" s="561">
        <v>264848</v>
      </c>
      <c r="S113" s="526">
        <f t="shared" si="28"/>
        <v>2417437</v>
      </c>
      <c r="T113" s="528">
        <f t="shared" si="26"/>
        <v>3.876829892913615</v>
      </c>
      <c r="U113" s="511">
        <f t="shared" si="27"/>
        <v>0</v>
      </c>
    </row>
    <row r="114" spans="1:20" ht="18.75">
      <c r="A114" s="576"/>
      <c r="B114" s="914" t="s">
        <v>420</v>
      </c>
      <c r="C114" s="914"/>
      <c r="D114" s="914"/>
      <c r="E114" s="397"/>
      <c r="F114" s="397"/>
      <c r="G114" s="397"/>
      <c r="H114" s="402"/>
      <c r="I114" s="402"/>
      <c r="J114" s="397"/>
      <c r="K114" s="397"/>
      <c r="L114" s="397"/>
      <c r="M114" s="397"/>
      <c r="N114" s="397"/>
      <c r="O114" s="397"/>
      <c r="P114" s="928" t="s">
        <v>593</v>
      </c>
      <c r="Q114" s="928"/>
      <c r="R114" s="928"/>
      <c r="S114" s="928"/>
      <c r="T114" s="928"/>
    </row>
    <row r="115" spans="1:20" ht="21" customHeight="1">
      <c r="A115" s="576"/>
      <c r="B115" s="389"/>
      <c r="C115" s="402"/>
      <c r="D115" s="397"/>
      <c r="E115" s="397"/>
      <c r="F115" s="397"/>
      <c r="G115" s="397"/>
      <c r="H115" s="402"/>
      <c r="I115" s="402"/>
      <c r="J115" s="397"/>
      <c r="K115" s="397"/>
      <c r="L115" s="397"/>
      <c r="M115" s="397"/>
      <c r="N115" s="397"/>
      <c r="O115" s="397"/>
      <c r="P115" s="933" t="s">
        <v>563</v>
      </c>
      <c r="Q115" s="933"/>
      <c r="R115" s="933"/>
      <c r="S115" s="933"/>
      <c r="T115" s="933"/>
    </row>
    <row r="116" spans="1:20" ht="21" customHeight="1">
      <c r="A116" s="576"/>
      <c r="B116" s="389"/>
      <c r="C116" s="402"/>
      <c r="D116" s="397"/>
      <c r="E116" s="397"/>
      <c r="F116" s="397"/>
      <c r="G116" s="397"/>
      <c r="H116" s="402"/>
      <c r="I116" s="402"/>
      <c r="J116" s="397"/>
      <c r="K116" s="397"/>
      <c r="L116" s="397"/>
      <c r="M116" s="397"/>
      <c r="N116" s="397"/>
      <c r="O116" s="397"/>
      <c r="P116" s="397"/>
      <c r="Q116" s="397"/>
      <c r="R116" s="402"/>
      <c r="S116" s="402"/>
      <c r="T116" s="397"/>
    </row>
    <row r="117" spans="1:20" ht="21" customHeight="1">
      <c r="A117" s="576"/>
      <c r="B117" s="389"/>
      <c r="C117" s="402"/>
      <c r="D117" s="397"/>
      <c r="E117" s="397"/>
      <c r="F117" s="397"/>
      <c r="G117" s="397"/>
      <c r="H117" s="402"/>
      <c r="I117" s="402"/>
      <c r="J117" s="397"/>
      <c r="K117" s="397"/>
      <c r="L117" s="397"/>
      <c r="M117" s="397"/>
      <c r="N117" s="397"/>
      <c r="O117" s="397"/>
      <c r="P117" s="397"/>
      <c r="Q117" s="397"/>
      <c r="R117" s="402"/>
      <c r="S117" s="402"/>
      <c r="T117" s="397"/>
    </row>
    <row r="118" spans="1:20" ht="21" customHeight="1">
      <c r="A118" s="576"/>
      <c r="B118" s="389"/>
      <c r="C118" s="402"/>
      <c r="D118" s="397"/>
      <c r="E118" s="397"/>
      <c r="F118" s="397"/>
      <c r="G118" s="397"/>
      <c r="H118" s="402"/>
      <c r="I118" s="402"/>
      <c r="J118" s="397"/>
      <c r="K118" s="397"/>
      <c r="L118" s="397"/>
      <c r="M118" s="397"/>
      <c r="N118" s="397"/>
      <c r="O118" s="397"/>
      <c r="P118" s="397"/>
      <c r="Q118" s="397"/>
      <c r="R118" s="402"/>
      <c r="S118" s="402"/>
      <c r="T118" s="397"/>
    </row>
    <row r="119" spans="1:20" ht="21" customHeight="1">
      <c r="A119" s="576"/>
      <c r="B119" s="389"/>
      <c r="C119" s="402"/>
      <c r="D119" s="397"/>
      <c r="E119" s="397"/>
      <c r="F119" s="397"/>
      <c r="G119" s="397"/>
      <c r="H119" s="402"/>
      <c r="I119" s="402"/>
      <c r="J119" s="397"/>
      <c r="K119" s="397"/>
      <c r="L119" s="397"/>
      <c r="M119" s="397"/>
      <c r="N119" s="397"/>
      <c r="O119" s="397"/>
      <c r="P119" s="397"/>
      <c r="Q119" s="397"/>
      <c r="R119" s="402"/>
      <c r="S119" s="402"/>
      <c r="T119" s="397"/>
    </row>
    <row r="120" spans="1:20" ht="21" customHeight="1">
      <c r="A120" s="576"/>
      <c r="B120" s="389"/>
      <c r="C120" s="402"/>
      <c r="D120" s="397"/>
      <c r="E120" s="397"/>
      <c r="F120" s="397"/>
      <c r="G120" s="397"/>
      <c r="H120" s="402"/>
      <c r="I120" s="402"/>
      <c r="J120" s="397"/>
      <c r="K120" s="397"/>
      <c r="L120" s="397"/>
      <c r="M120" s="397"/>
      <c r="N120" s="397"/>
      <c r="O120" s="397"/>
      <c r="P120" s="397"/>
      <c r="Q120" s="397"/>
      <c r="R120" s="402"/>
      <c r="S120" s="402"/>
      <c r="T120" s="397"/>
    </row>
    <row r="121" spans="1:20" ht="15.75" customHeight="1">
      <c r="A121" s="576"/>
      <c r="B121" s="936" t="s">
        <v>539</v>
      </c>
      <c r="C121" s="936"/>
      <c r="D121" s="936"/>
      <c r="E121" s="448"/>
      <c r="F121" s="448"/>
      <c r="G121" s="448"/>
      <c r="H121" s="448"/>
      <c r="I121" s="448"/>
      <c r="J121" s="448"/>
      <c r="K121" s="448"/>
      <c r="L121" s="448"/>
      <c r="M121" s="448"/>
      <c r="N121" s="448"/>
      <c r="O121" s="448"/>
      <c r="P121" s="448"/>
      <c r="Q121" s="397"/>
      <c r="R121" s="402"/>
      <c r="S121" s="402"/>
      <c r="T121" s="382"/>
    </row>
    <row r="122" spans="1:20" ht="18.75">
      <c r="A122" s="576"/>
      <c r="B122" s="914"/>
      <c r="C122" s="914"/>
      <c r="D122" s="914"/>
      <c r="E122" s="914"/>
      <c r="F122" s="397"/>
      <c r="G122" s="397"/>
      <c r="H122" s="402"/>
      <c r="I122" s="402"/>
      <c r="J122" s="397"/>
      <c r="K122" s="397"/>
      <c r="L122" s="397"/>
      <c r="M122" s="397"/>
      <c r="N122" s="397"/>
      <c r="O122" s="384"/>
      <c r="P122" s="914" t="s">
        <v>564</v>
      </c>
      <c r="Q122" s="914"/>
      <c r="R122" s="914"/>
      <c r="S122" s="914"/>
      <c r="T122" s="914"/>
    </row>
    <row r="123" spans="2:20" ht="11.25">
      <c r="B123" s="934"/>
      <c r="C123" s="934"/>
      <c r="D123" s="934"/>
      <c r="E123" s="934"/>
      <c r="P123" s="934"/>
      <c r="Q123" s="934"/>
      <c r="R123" s="934"/>
      <c r="S123" s="934"/>
      <c r="T123" s="935"/>
    </row>
  </sheetData>
  <sheetProtection/>
  <mergeCells count="34">
    <mergeCell ref="A3:D3"/>
    <mergeCell ref="E1:P1"/>
    <mergeCell ref="E2:P2"/>
    <mergeCell ref="E3:P3"/>
    <mergeCell ref="A2:D2"/>
    <mergeCell ref="Q2:T2"/>
    <mergeCell ref="Q4:T4"/>
    <mergeCell ref="T6:T9"/>
    <mergeCell ref="I7:Q7"/>
    <mergeCell ref="R7:R9"/>
    <mergeCell ref="I8:I9"/>
    <mergeCell ref="Q5:T5"/>
    <mergeCell ref="D7:E7"/>
    <mergeCell ref="D8:D9"/>
    <mergeCell ref="E8:E9"/>
    <mergeCell ref="H7:H9"/>
    <mergeCell ref="F6:F9"/>
    <mergeCell ref="G6:G9"/>
    <mergeCell ref="P115:T115"/>
    <mergeCell ref="P122:T122"/>
    <mergeCell ref="B123:E123"/>
    <mergeCell ref="P123:T123"/>
    <mergeCell ref="B122:E122"/>
    <mergeCell ref="B121:D121"/>
    <mergeCell ref="B114:D114"/>
    <mergeCell ref="A11:B11"/>
    <mergeCell ref="A6:B9"/>
    <mergeCell ref="S6:S9"/>
    <mergeCell ref="C6:E6"/>
    <mergeCell ref="C7:C9"/>
    <mergeCell ref="P114:T114"/>
    <mergeCell ref="H6:R6"/>
    <mergeCell ref="A10:B10"/>
    <mergeCell ref="J8:Q8"/>
  </mergeCells>
  <conditionalFormatting sqref="C88:C89">
    <cfRule type="expression" priority="5" dxfId="0" stopIfTrue="1">
      <formula>$C$16&lt;&gt;$F$16+$H$16</formula>
    </cfRule>
  </conditionalFormatting>
  <conditionalFormatting sqref="C88:C89">
    <cfRule type="expression" priority="2" dxfId="0" stopIfTrue="1">
      <formula>$C$16&lt;&gt;$F$16+$H$16</formula>
    </cfRule>
  </conditionalFormatting>
  <printOptions/>
  <pageMargins left="0.24" right="0" top="0" bottom="0" header="0.511811023622047" footer="0.275590551181102"/>
  <pageSetup horizontalDpi="600" verticalDpi="600" orientation="landscape" paperSize="9" scale="76" r:id="rId4"/>
  <headerFooter alignWithMargins="0">
    <oddFooter>&amp;CPage &amp;P</oddFooter>
  </headerFooter>
  <ignoredErrors>
    <ignoredError sqref="C109" formula="1"/>
    <ignoredError sqref="C106 C90:G90 C68:G68 J90:R90 J68:R68" formula="1" unlockedFormula="1"/>
    <ignoredError sqref="D106:G106 C94 J106:R106" unlockedFormula="1"/>
    <ignoredError sqref="I17:I60" formulaRange="1"/>
  </ignoredErrors>
  <drawing r:id="rId3"/>
  <legacyDrawing r:id="rId2"/>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24" t="s">
        <v>29</v>
      </c>
      <c r="B1" s="624"/>
      <c r="C1" s="624"/>
      <c r="D1" s="624"/>
      <c r="E1" s="640" t="s">
        <v>370</v>
      </c>
      <c r="F1" s="640"/>
      <c r="G1" s="640"/>
      <c r="H1" s="640"/>
      <c r="I1" s="640"/>
      <c r="J1" s="640"/>
      <c r="K1" s="640"/>
      <c r="L1" s="31" t="s">
        <v>346</v>
      </c>
      <c r="M1" s="31"/>
      <c r="N1" s="31"/>
      <c r="O1" s="32"/>
      <c r="P1" s="32"/>
    </row>
    <row r="2" spans="1:16" ht="15.75" customHeight="1">
      <c r="A2" s="631" t="s">
        <v>237</v>
      </c>
      <c r="B2" s="631"/>
      <c r="C2" s="631"/>
      <c r="D2" s="631"/>
      <c r="E2" s="640"/>
      <c r="F2" s="640"/>
      <c r="G2" s="640"/>
      <c r="H2" s="640"/>
      <c r="I2" s="640"/>
      <c r="J2" s="640"/>
      <c r="K2" s="640"/>
      <c r="L2" s="625" t="s">
        <v>249</v>
      </c>
      <c r="M2" s="625"/>
      <c r="N2" s="625"/>
      <c r="O2" s="35"/>
      <c r="P2" s="32"/>
    </row>
    <row r="3" spans="1:16" ht="18" customHeight="1">
      <c r="A3" s="631" t="s">
        <v>238</v>
      </c>
      <c r="B3" s="631"/>
      <c r="C3" s="631"/>
      <c r="D3" s="631"/>
      <c r="E3" s="643" t="s">
        <v>366</v>
      </c>
      <c r="F3" s="643"/>
      <c r="G3" s="643"/>
      <c r="H3" s="643"/>
      <c r="I3" s="643"/>
      <c r="J3" s="643"/>
      <c r="K3" s="36"/>
      <c r="L3" s="626" t="s">
        <v>365</v>
      </c>
      <c r="M3" s="626"/>
      <c r="N3" s="626"/>
      <c r="O3" s="32"/>
      <c r="P3" s="32"/>
    </row>
    <row r="4" spans="1:16" ht="21" customHeight="1">
      <c r="A4" s="645" t="s">
        <v>252</v>
      </c>
      <c r="B4" s="645"/>
      <c r="C4" s="645"/>
      <c r="D4" s="645"/>
      <c r="E4" s="39"/>
      <c r="F4" s="40"/>
      <c r="G4" s="41"/>
      <c r="H4" s="41"/>
      <c r="I4" s="41"/>
      <c r="J4" s="41"/>
      <c r="K4" s="32"/>
      <c r="L4" s="625" t="s">
        <v>244</v>
      </c>
      <c r="M4" s="625"/>
      <c r="N4" s="625"/>
      <c r="O4" s="35"/>
      <c r="P4" s="32"/>
    </row>
    <row r="5" spans="1:16" ht="18" customHeight="1">
      <c r="A5" s="41"/>
      <c r="B5" s="32"/>
      <c r="C5" s="42"/>
      <c r="D5" s="630"/>
      <c r="E5" s="630"/>
      <c r="F5" s="630"/>
      <c r="G5" s="630"/>
      <c r="H5" s="630"/>
      <c r="I5" s="630"/>
      <c r="J5" s="630"/>
      <c r="K5" s="630"/>
      <c r="L5" s="43" t="s">
        <v>253</v>
      </c>
      <c r="M5" s="43"/>
      <c r="N5" s="43"/>
      <c r="O5" s="32"/>
      <c r="P5" s="32"/>
    </row>
    <row r="6" spans="1:18" ht="33" customHeight="1">
      <c r="A6" s="646" t="s">
        <v>55</v>
      </c>
      <c r="B6" s="647"/>
      <c r="C6" s="644" t="s">
        <v>254</v>
      </c>
      <c r="D6" s="644"/>
      <c r="E6" s="644"/>
      <c r="F6" s="644"/>
      <c r="G6" s="627" t="s">
        <v>7</v>
      </c>
      <c r="H6" s="628"/>
      <c r="I6" s="628"/>
      <c r="J6" s="628"/>
      <c r="K6" s="628"/>
      <c r="L6" s="628"/>
      <c r="M6" s="628"/>
      <c r="N6" s="629"/>
      <c r="O6" s="632" t="s">
        <v>255</v>
      </c>
      <c r="P6" s="633"/>
      <c r="Q6" s="633"/>
      <c r="R6" s="634"/>
    </row>
    <row r="7" spans="1:18" ht="29.25" customHeight="1">
      <c r="A7" s="648"/>
      <c r="B7" s="649"/>
      <c r="C7" s="644"/>
      <c r="D7" s="644"/>
      <c r="E7" s="644"/>
      <c r="F7" s="644"/>
      <c r="G7" s="627" t="s">
        <v>256</v>
      </c>
      <c r="H7" s="628"/>
      <c r="I7" s="628"/>
      <c r="J7" s="629"/>
      <c r="K7" s="627" t="s">
        <v>90</v>
      </c>
      <c r="L7" s="628"/>
      <c r="M7" s="628"/>
      <c r="N7" s="629"/>
      <c r="O7" s="45" t="s">
        <v>257</v>
      </c>
      <c r="P7" s="45" t="s">
        <v>258</v>
      </c>
      <c r="Q7" s="635" t="s">
        <v>259</v>
      </c>
      <c r="R7" s="635" t="s">
        <v>260</v>
      </c>
    </row>
    <row r="8" spans="1:18" ht="26.25" customHeight="1">
      <c r="A8" s="648"/>
      <c r="B8" s="649"/>
      <c r="C8" s="619" t="s">
        <v>87</v>
      </c>
      <c r="D8" s="620"/>
      <c r="E8" s="619" t="s">
        <v>86</v>
      </c>
      <c r="F8" s="620"/>
      <c r="G8" s="619" t="s">
        <v>88</v>
      </c>
      <c r="H8" s="621"/>
      <c r="I8" s="619" t="s">
        <v>89</v>
      </c>
      <c r="J8" s="621"/>
      <c r="K8" s="619" t="s">
        <v>91</v>
      </c>
      <c r="L8" s="621"/>
      <c r="M8" s="619" t="s">
        <v>92</v>
      </c>
      <c r="N8" s="621"/>
      <c r="O8" s="637" t="s">
        <v>261</v>
      </c>
      <c r="P8" s="638" t="s">
        <v>262</v>
      </c>
      <c r="Q8" s="635"/>
      <c r="R8" s="635"/>
    </row>
    <row r="9" spans="1:18" ht="30.75" customHeight="1">
      <c r="A9" s="648"/>
      <c r="B9" s="649"/>
      <c r="C9" s="46" t="s">
        <v>3</v>
      </c>
      <c r="D9" s="44" t="s">
        <v>9</v>
      </c>
      <c r="E9" s="44" t="s">
        <v>3</v>
      </c>
      <c r="F9" s="44" t="s">
        <v>9</v>
      </c>
      <c r="G9" s="47" t="s">
        <v>3</v>
      </c>
      <c r="H9" s="47" t="s">
        <v>9</v>
      </c>
      <c r="I9" s="47" t="s">
        <v>3</v>
      </c>
      <c r="J9" s="47" t="s">
        <v>9</v>
      </c>
      <c r="K9" s="47" t="s">
        <v>3</v>
      </c>
      <c r="L9" s="47" t="s">
        <v>9</v>
      </c>
      <c r="M9" s="47" t="s">
        <v>3</v>
      </c>
      <c r="N9" s="47" t="s">
        <v>9</v>
      </c>
      <c r="O9" s="637"/>
      <c r="P9" s="639"/>
      <c r="Q9" s="636"/>
      <c r="R9" s="636"/>
    </row>
    <row r="10" spans="1:18" s="52" customFormat="1" ht="18" customHeight="1">
      <c r="A10" s="654" t="s">
        <v>6</v>
      </c>
      <c r="B10" s="654"/>
      <c r="C10" s="48">
        <v>1</v>
      </c>
      <c r="D10" s="48">
        <v>2</v>
      </c>
      <c r="E10" s="48">
        <v>3</v>
      </c>
      <c r="F10" s="48">
        <v>4</v>
      </c>
      <c r="G10" s="48">
        <v>5</v>
      </c>
      <c r="H10" s="48">
        <v>6</v>
      </c>
      <c r="I10" s="48">
        <v>7</v>
      </c>
      <c r="J10" s="48">
        <v>8</v>
      </c>
      <c r="K10" s="48">
        <v>9</v>
      </c>
      <c r="L10" s="48">
        <v>10</v>
      </c>
      <c r="M10" s="48">
        <v>11</v>
      </c>
      <c r="N10" s="48">
        <v>12</v>
      </c>
      <c r="O10" s="49" t="s">
        <v>84</v>
      </c>
      <c r="P10" s="49" t="s">
        <v>85</v>
      </c>
      <c r="Q10" s="50"/>
      <c r="R10" s="51"/>
    </row>
    <row r="11" spans="1:18" s="52" customFormat="1" ht="18" customHeight="1" hidden="1">
      <c r="A11" s="641" t="s">
        <v>263</v>
      </c>
      <c r="B11" s="642"/>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22" t="s">
        <v>367</v>
      </c>
      <c r="B12" s="62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55" t="s">
        <v>31</v>
      </c>
      <c r="B13" s="656"/>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264</v>
      </c>
    </row>
    <row r="14" spans="1:37" s="52" customFormat="1" ht="18" customHeight="1">
      <c r="A14" s="59" t="s">
        <v>0</v>
      </c>
      <c r="B14" s="60" t="s">
        <v>78</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265</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266</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267</v>
      </c>
    </row>
    <row r="18" spans="1:18" s="70" customFormat="1" ht="18" customHeight="1">
      <c r="A18" s="66" t="s">
        <v>47</v>
      </c>
      <c r="B18" s="67" t="s">
        <v>268</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56</v>
      </c>
      <c r="B19" s="67" t="s">
        <v>269</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57</v>
      </c>
      <c r="B20" s="71" t="s">
        <v>270</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58</v>
      </c>
      <c r="B21" s="67" t="s">
        <v>271</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272</v>
      </c>
      <c r="AK21" s="52" t="s">
        <v>273</v>
      </c>
      <c r="AL21" s="52" t="s">
        <v>274</v>
      </c>
      <c r="AM21" s="63" t="s">
        <v>275</v>
      </c>
    </row>
    <row r="22" spans="1:39" s="52" customFormat="1" ht="18" customHeight="1">
      <c r="A22" s="66" t="s">
        <v>59</v>
      </c>
      <c r="B22" s="67" t="s">
        <v>276</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277</v>
      </c>
    </row>
    <row r="23" spans="1:18" s="52" customFormat="1" ht="18" customHeight="1">
      <c r="A23" s="66" t="s">
        <v>60</v>
      </c>
      <c r="B23" s="67" t="s">
        <v>278</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61</v>
      </c>
      <c r="B24" s="67" t="s">
        <v>279</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272</v>
      </c>
    </row>
    <row r="25" spans="1:36" s="52" customFormat="1" ht="18" customHeight="1">
      <c r="A25" s="66" t="s">
        <v>81</v>
      </c>
      <c r="B25" s="67" t="s">
        <v>280</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281</v>
      </c>
    </row>
    <row r="26" spans="1:44" s="52" customFormat="1" ht="18" customHeight="1">
      <c r="A26" s="66" t="s">
        <v>82</v>
      </c>
      <c r="B26" s="67" t="s">
        <v>282</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57" t="s">
        <v>368</v>
      </c>
      <c r="C28" s="657"/>
      <c r="D28" s="657"/>
      <c r="E28" s="657"/>
      <c r="F28" s="75"/>
      <c r="G28" s="76"/>
      <c r="H28" s="76"/>
      <c r="I28" s="76"/>
      <c r="J28" s="657" t="s">
        <v>369</v>
      </c>
      <c r="K28" s="657"/>
      <c r="L28" s="657"/>
      <c r="M28" s="657"/>
      <c r="N28" s="657"/>
      <c r="O28" s="77"/>
      <c r="P28" s="77"/>
      <c r="AG28" s="78" t="s">
        <v>284</v>
      </c>
      <c r="AI28" s="79">
        <f>82/88</f>
        <v>0.9318181818181818</v>
      </c>
    </row>
    <row r="29" spans="1:16" s="85" customFormat="1" ht="19.5" customHeight="1">
      <c r="A29" s="80"/>
      <c r="B29" s="618" t="s">
        <v>35</v>
      </c>
      <c r="C29" s="618"/>
      <c r="D29" s="618"/>
      <c r="E29" s="618"/>
      <c r="F29" s="82"/>
      <c r="G29" s="83"/>
      <c r="H29" s="83"/>
      <c r="I29" s="83"/>
      <c r="J29" s="618" t="s">
        <v>285</v>
      </c>
      <c r="K29" s="618"/>
      <c r="L29" s="618"/>
      <c r="M29" s="618"/>
      <c r="N29" s="618"/>
      <c r="O29" s="84"/>
      <c r="P29" s="84"/>
    </row>
    <row r="30" spans="1:16" s="85" customFormat="1" ht="19.5" customHeight="1">
      <c r="A30" s="80"/>
      <c r="B30" s="652"/>
      <c r="C30" s="652"/>
      <c r="D30" s="652"/>
      <c r="E30" s="82"/>
      <c r="F30" s="82"/>
      <c r="G30" s="83"/>
      <c r="H30" s="83"/>
      <c r="I30" s="83"/>
      <c r="J30" s="653"/>
      <c r="K30" s="653"/>
      <c r="L30" s="653"/>
      <c r="M30" s="653"/>
      <c r="N30" s="653"/>
      <c r="O30" s="84"/>
      <c r="P30" s="84"/>
    </row>
    <row r="31" spans="1:16" s="85" customFormat="1" ht="8.25" customHeight="1">
      <c r="A31" s="80"/>
      <c r="B31" s="86"/>
      <c r="C31" s="86" t="s">
        <v>83</v>
      </c>
      <c r="D31" s="86"/>
      <c r="E31" s="87"/>
      <c r="F31" s="87"/>
      <c r="G31" s="88"/>
      <c r="H31" s="88"/>
      <c r="I31" s="88"/>
      <c r="J31" s="86"/>
      <c r="K31" s="86"/>
      <c r="L31" s="86"/>
      <c r="M31" s="86"/>
      <c r="N31" s="86"/>
      <c r="O31" s="84"/>
      <c r="P31" s="84"/>
    </row>
    <row r="32" spans="1:16" s="85" customFormat="1" ht="9" customHeight="1">
      <c r="A32" s="80"/>
      <c r="B32" s="651" t="s">
        <v>286</v>
      </c>
      <c r="C32" s="651"/>
      <c r="D32" s="651"/>
      <c r="E32" s="651"/>
      <c r="F32" s="87"/>
      <c r="G32" s="88"/>
      <c r="H32" s="88"/>
      <c r="I32" s="88"/>
      <c r="J32" s="650" t="s">
        <v>286</v>
      </c>
      <c r="K32" s="650"/>
      <c r="L32" s="650"/>
      <c r="M32" s="650"/>
      <c r="N32" s="650"/>
      <c r="O32" s="84"/>
      <c r="P32" s="84"/>
    </row>
    <row r="33" spans="1:16" s="85" customFormat="1" ht="19.5" customHeight="1">
      <c r="A33" s="80"/>
      <c r="B33" s="618" t="s">
        <v>287</v>
      </c>
      <c r="C33" s="618"/>
      <c r="D33" s="618"/>
      <c r="E33" s="618"/>
      <c r="F33" s="82"/>
      <c r="G33" s="83"/>
      <c r="H33" s="83"/>
      <c r="I33" s="83"/>
      <c r="J33" s="81"/>
      <c r="K33" s="618" t="s">
        <v>287</v>
      </c>
      <c r="L33" s="618"/>
      <c r="M33" s="618"/>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616" t="s">
        <v>240</v>
      </c>
      <c r="C36" s="616"/>
      <c r="D36" s="616"/>
      <c r="E36" s="616"/>
      <c r="F36" s="91"/>
      <c r="G36" s="91"/>
      <c r="H36" s="91"/>
      <c r="I36" s="91"/>
      <c r="J36" s="617" t="s">
        <v>241</v>
      </c>
      <c r="K36" s="617"/>
      <c r="L36" s="617"/>
      <c r="M36" s="617"/>
      <c r="N36" s="617"/>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J32:N32"/>
    <mergeCell ref="B32:E32"/>
    <mergeCell ref="G7:J7"/>
    <mergeCell ref="K8:L8"/>
    <mergeCell ref="B30:D30"/>
    <mergeCell ref="J30:N30"/>
    <mergeCell ref="A10:B10"/>
    <mergeCell ref="A13:B13"/>
    <mergeCell ref="B28:E28"/>
    <mergeCell ref="J28:N28"/>
    <mergeCell ref="J29:N29"/>
    <mergeCell ref="A11:B11"/>
    <mergeCell ref="E3:J3"/>
    <mergeCell ref="A3:D3"/>
    <mergeCell ref="C6:F7"/>
    <mergeCell ref="A4:D4"/>
    <mergeCell ref="A6:B9"/>
    <mergeCell ref="O6:R6"/>
    <mergeCell ref="R7:R9"/>
    <mergeCell ref="Q7:Q9"/>
    <mergeCell ref="O8:O9"/>
    <mergeCell ref="P8:P9"/>
    <mergeCell ref="E1:K2"/>
    <mergeCell ref="A1:D1"/>
    <mergeCell ref="L2:N2"/>
    <mergeCell ref="L3:N3"/>
    <mergeCell ref="L4:N4"/>
    <mergeCell ref="M8:N8"/>
    <mergeCell ref="K7:N7"/>
    <mergeCell ref="D5:K5"/>
    <mergeCell ref="G6:N6"/>
    <mergeCell ref="A2:D2"/>
    <mergeCell ref="B36:E36"/>
    <mergeCell ref="J36:N36"/>
    <mergeCell ref="B29:E29"/>
    <mergeCell ref="E8:F8"/>
    <mergeCell ref="G8:H8"/>
    <mergeCell ref="C8:D8"/>
    <mergeCell ref="A12:B12"/>
    <mergeCell ref="I8:J8"/>
    <mergeCell ref="B33:E33"/>
    <mergeCell ref="K33:M33"/>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93" t="s">
        <v>26</v>
      </c>
      <c r="B1" s="693"/>
      <c r="C1" s="98"/>
      <c r="D1" s="696" t="s">
        <v>347</v>
      </c>
      <c r="E1" s="696"/>
      <c r="F1" s="696"/>
      <c r="G1" s="696"/>
      <c r="H1" s="696"/>
      <c r="I1" s="696"/>
      <c r="J1" s="696"/>
      <c r="K1" s="696"/>
      <c r="L1" s="696"/>
      <c r="M1" s="669" t="s">
        <v>288</v>
      </c>
      <c r="N1" s="670"/>
      <c r="O1" s="670"/>
      <c r="P1" s="670"/>
    </row>
    <row r="2" spans="1:16" s="42" customFormat="1" ht="34.5" customHeight="1">
      <c r="A2" s="695" t="s">
        <v>289</v>
      </c>
      <c r="B2" s="695"/>
      <c r="C2" s="695"/>
      <c r="D2" s="696"/>
      <c r="E2" s="696"/>
      <c r="F2" s="696"/>
      <c r="G2" s="696"/>
      <c r="H2" s="696"/>
      <c r="I2" s="696"/>
      <c r="J2" s="696"/>
      <c r="K2" s="696"/>
      <c r="L2" s="696"/>
      <c r="M2" s="671" t="s">
        <v>348</v>
      </c>
      <c r="N2" s="672"/>
      <c r="O2" s="672"/>
      <c r="P2" s="672"/>
    </row>
    <row r="3" spans="1:16" s="42" customFormat="1" ht="19.5" customHeight="1">
      <c r="A3" s="694" t="s">
        <v>290</v>
      </c>
      <c r="B3" s="694"/>
      <c r="C3" s="694"/>
      <c r="D3" s="696"/>
      <c r="E3" s="696"/>
      <c r="F3" s="696"/>
      <c r="G3" s="696"/>
      <c r="H3" s="696"/>
      <c r="I3" s="696"/>
      <c r="J3" s="696"/>
      <c r="K3" s="696"/>
      <c r="L3" s="696"/>
      <c r="M3" s="671" t="s">
        <v>291</v>
      </c>
      <c r="N3" s="672"/>
      <c r="O3" s="672"/>
      <c r="P3" s="672"/>
    </row>
    <row r="4" spans="1:16" s="103" customFormat="1" ht="18.75" customHeight="1">
      <c r="A4" s="99"/>
      <c r="B4" s="99"/>
      <c r="C4" s="100"/>
      <c r="D4" s="630"/>
      <c r="E4" s="630"/>
      <c r="F4" s="630"/>
      <c r="G4" s="630"/>
      <c r="H4" s="630"/>
      <c r="I4" s="630"/>
      <c r="J4" s="630"/>
      <c r="K4" s="630"/>
      <c r="L4" s="630"/>
      <c r="M4" s="101" t="s">
        <v>292</v>
      </c>
      <c r="N4" s="102"/>
      <c r="O4" s="102"/>
      <c r="P4" s="102"/>
    </row>
    <row r="5" spans="1:16" ht="49.5" customHeight="1">
      <c r="A5" s="682" t="s">
        <v>55</v>
      </c>
      <c r="B5" s="683"/>
      <c r="C5" s="688" t="s">
        <v>80</v>
      </c>
      <c r="D5" s="674"/>
      <c r="E5" s="674"/>
      <c r="F5" s="674"/>
      <c r="G5" s="674"/>
      <c r="H5" s="674"/>
      <c r="I5" s="674"/>
      <c r="J5" s="674"/>
      <c r="K5" s="668" t="s">
        <v>79</v>
      </c>
      <c r="L5" s="668"/>
      <c r="M5" s="668"/>
      <c r="N5" s="668"/>
      <c r="O5" s="668"/>
      <c r="P5" s="668"/>
    </row>
    <row r="6" spans="1:16" ht="20.25" customHeight="1">
      <c r="A6" s="684"/>
      <c r="B6" s="685"/>
      <c r="C6" s="688" t="s">
        <v>3</v>
      </c>
      <c r="D6" s="674"/>
      <c r="E6" s="674"/>
      <c r="F6" s="675"/>
      <c r="G6" s="668" t="s">
        <v>9</v>
      </c>
      <c r="H6" s="668"/>
      <c r="I6" s="668"/>
      <c r="J6" s="668"/>
      <c r="K6" s="673" t="s">
        <v>3</v>
      </c>
      <c r="L6" s="673"/>
      <c r="M6" s="673"/>
      <c r="N6" s="667" t="s">
        <v>9</v>
      </c>
      <c r="O6" s="667"/>
      <c r="P6" s="667"/>
    </row>
    <row r="7" spans="1:16" ht="52.5" customHeight="1">
      <c r="A7" s="684"/>
      <c r="B7" s="685"/>
      <c r="C7" s="689" t="s">
        <v>293</v>
      </c>
      <c r="D7" s="674" t="s">
        <v>76</v>
      </c>
      <c r="E7" s="674"/>
      <c r="F7" s="675"/>
      <c r="G7" s="668" t="s">
        <v>294</v>
      </c>
      <c r="H7" s="668" t="s">
        <v>76</v>
      </c>
      <c r="I7" s="668"/>
      <c r="J7" s="668"/>
      <c r="K7" s="668" t="s">
        <v>32</v>
      </c>
      <c r="L7" s="668" t="s">
        <v>77</v>
      </c>
      <c r="M7" s="668"/>
      <c r="N7" s="668" t="s">
        <v>62</v>
      </c>
      <c r="O7" s="668" t="s">
        <v>77</v>
      </c>
      <c r="P7" s="668"/>
    </row>
    <row r="8" spans="1:16" ht="15.75" customHeight="1">
      <c r="A8" s="684"/>
      <c r="B8" s="685"/>
      <c r="C8" s="689"/>
      <c r="D8" s="668" t="s">
        <v>36</v>
      </c>
      <c r="E8" s="668" t="s">
        <v>37</v>
      </c>
      <c r="F8" s="668" t="s">
        <v>40</v>
      </c>
      <c r="G8" s="668"/>
      <c r="H8" s="668" t="s">
        <v>36</v>
      </c>
      <c r="I8" s="668" t="s">
        <v>37</v>
      </c>
      <c r="J8" s="668" t="s">
        <v>40</v>
      </c>
      <c r="K8" s="668"/>
      <c r="L8" s="668" t="s">
        <v>14</v>
      </c>
      <c r="M8" s="668" t="s">
        <v>13</v>
      </c>
      <c r="N8" s="668"/>
      <c r="O8" s="668" t="s">
        <v>14</v>
      </c>
      <c r="P8" s="668" t="s">
        <v>13</v>
      </c>
    </row>
    <row r="9" spans="1:16" ht="44.25" customHeight="1">
      <c r="A9" s="686"/>
      <c r="B9" s="687"/>
      <c r="C9" s="690"/>
      <c r="D9" s="668"/>
      <c r="E9" s="668"/>
      <c r="F9" s="668"/>
      <c r="G9" s="668"/>
      <c r="H9" s="668"/>
      <c r="I9" s="668"/>
      <c r="J9" s="668"/>
      <c r="K9" s="668"/>
      <c r="L9" s="668"/>
      <c r="M9" s="668"/>
      <c r="N9" s="668"/>
      <c r="O9" s="668"/>
      <c r="P9" s="668"/>
    </row>
    <row r="10" spans="1:16" ht="15" customHeight="1">
      <c r="A10" s="680" t="s">
        <v>6</v>
      </c>
      <c r="B10" s="681"/>
      <c r="C10" s="105">
        <v>1</v>
      </c>
      <c r="D10" s="105" t="s">
        <v>44</v>
      </c>
      <c r="E10" s="105" t="s">
        <v>47</v>
      </c>
      <c r="F10" s="105" t="s">
        <v>56</v>
      </c>
      <c r="G10" s="105" t="s">
        <v>57</v>
      </c>
      <c r="H10" s="105" t="s">
        <v>58</v>
      </c>
      <c r="I10" s="105" t="s">
        <v>59</v>
      </c>
      <c r="J10" s="105" t="s">
        <v>60</v>
      </c>
      <c r="K10" s="105" t="s">
        <v>61</v>
      </c>
      <c r="L10" s="105" t="s">
        <v>81</v>
      </c>
      <c r="M10" s="105" t="s">
        <v>82</v>
      </c>
      <c r="N10" s="105" t="s">
        <v>83</v>
      </c>
      <c r="O10" s="105" t="s">
        <v>84</v>
      </c>
      <c r="P10" s="105" t="s">
        <v>85</v>
      </c>
    </row>
    <row r="11" spans="1:16" ht="15" customHeight="1">
      <c r="A11" s="676" t="s">
        <v>295</v>
      </c>
      <c r="B11" s="677"/>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91" t="s">
        <v>296</v>
      </c>
      <c r="B12" s="692"/>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78" t="s">
        <v>33</v>
      </c>
      <c r="B13" s="679"/>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264</v>
      </c>
    </row>
    <row r="14" spans="1:37" ht="15" customHeight="1">
      <c r="A14" s="109" t="s">
        <v>0</v>
      </c>
      <c r="B14" s="110" t="s">
        <v>78</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265</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297</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267</v>
      </c>
    </row>
    <row r="18" spans="1:16" s="42" customFormat="1" ht="15" customHeight="1">
      <c r="A18" s="116" t="s">
        <v>47</v>
      </c>
      <c r="B18" s="117" t="s">
        <v>268</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56</v>
      </c>
      <c r="B19" s="117" t="s">
        <v>269</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57</v>
      </c>
      <c r="B20" s="117" t="s">
        <v>270</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58</v>
      </c>
      <c r="B21" s="117" t="s">
        <v>271</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272</v>
      </c>
      <c r="AK21" s="42" t="s">
        <v>273</v>
      </c>
      <c r="AL21" s="42" t="s">
        <v>274</v>
      </c>
      <c r="AM21" s="113" t="s">
        <v>275</v>
      </c>
    </row>
    <row r="22" spans="1:39" s="42" customFormat="1" ht="15" customHeight="1">
      <c r="A22" s="116" t="s">
        <v>59</v>
      </c>
      <c r="B22" s="117" t="s">
        <v>276</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277</v>
      </c>
    </row>
    <row r="23" spans="1:16" s="42" customFormat="1" ht="15" customHeight="1">
      <c r="A23" s="116" t="s">
        <v>60</v>
      </c>
      <c r="B23" s="117" t="s">
        <v>278</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61</v>
      </c>
      <c r="B24" s="117" t="s">
        <v>279</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272</v>
      </c>
    </row>
    <row r="25" spans="1:36" s="42" customFormat="1" ht="15" customHeight="1">
      <c r="A25" s="116" t="s">
        <v>81</v>
      </c>
      <c r="B25" s="117" t="s">
        <v>280</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281</v>
      </c>
    </row>
    <row r="26" spans="1:44" s="42" customFormat="1" ht="15" customHeight="1">
      <c r="A26" s="116" t="s">
        <v>82</v>
      </c>
      <c r="B26" s="117" t="s">
        <v>282</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63" t="s">
        <v>349</v>
      </c>
      <c r="C28" s="664"/>
      <c r="D28" s="664"/>
      <c r="E28" s="664"/>
      <c r="F28" s="123"/>
      <c r="G28" s="123"/>
      <c r="H28" s="123"/>
      <c r="I28" s="123"/>
      <c r="J28" s="123"/>
      <c r="K28" s="658" t="s">
        <v>350</v>
      </c>
      <c r="L28" s="658"/>
      <c r="M28" s="658"/>
      <c r="N28" s="658"/>
      <c r="O28" s="658"/>
      <c r="P28" s="658"/>
      <c r="AG28" s="73" t="s">
        <v>284</v>
      </c>
      <c r="AI28" s="113">
        <f>82/88</f>
        <v>0.9318181818181818</v>
      </c>
    </row>
    <row r="29" spans="2:16" ht="16.5">
      <c r="B29" s="664"/>
      <c r="C29" s="664"/>
      <c r="D29" s="664"/>
      <c r="E29" s="664"/>
      <c r="F29" s="123"/>
      <c r="G29" s="123"/>
      <c r="H29" s="123"/>
      <c r="I29" s="123"/>
      <c r="J29" s="123"/>
      <c r="K29" s="658"/>
      <c r="L29" s="658"/>
      <c r="M29" s="658"/>
      <c r="N29" s="658"/>
      <c r="O29" s="658"/>
      <c r="P29" s="658"/>
    </row>
    <row r="30" spans="2:16" ht="21" customHeight="1">
      <c r="B30" s="664"/>
      <c r="C30" s="664"/>
      <c r="D30" s="664"/>
      <c r="E30" s="664"/>
      <c r="F30" s="123"/>
      <c r="G30" s="123"/>
      <c r="H30" s="123"/>
      <c r="I30" s="123"/>
      <c r="J30" s="123"/>
      <c r="K30" s="658"/>
      <c r="L30" s="658"/>
      <c r="M30" s="658"/>
      <c r="N30" s="658"/>
      <c r="O30" s="658"/>
      <c r="P30" s="658"/>
    </row>
    <row r="32" spans="2:16" ht="16.5" customHeight="1">
      <c r="B32" s="666" t="s">
        <v>287</v>
      </c>
      <c r="C32" s="666"/>
      <c r="D32" s="666"/>
      <c r="E32" s="124"/>
      <c r="F32" s="124"/>
      <c r="G32" s="124"/>
      <c r="H32" s="124"/>
      <c r="I32" s="124"/>
      <c r="J32" s="124"/>
      <c r="K32" s="665" t="s">
        <v>351</v>
      </c>
      <c r="L32" s="665"/>
      <c r="M32" s="665"/>
      <c r="N32" s="665"/>
      <c r="O32" s="665"/>
      <c r="P32" s="665"/>
    </row>
    <row r="33" ht="12.75" customHeight="1"/>
    <row r="34" spans="2:5" ht="15.75">
      <c r="B34" s="125"/>
      <c r="C34" s="125"/>
      <c r="D34" s="125"/>
      <c r="E34" s="125"/>
    </row>
    <row r="35" ht="15.75" hidden="1"/>
    <row r="36" spans="2:16" ht="15.75">
      <c r="B36" s="661" t="s">
        <v>240</v>
      </c>
      <c r="C36" s="661"/>
      <c r="D36" s="661"/>
      <c r="E36" s="661"/>
      <c r="F36" s="126"/>
      <c r="G36" s="126"/>
      <c r="H36" s="126"/>
      <c r="I36" s="126"/>
      <c r="K36" s="662" t="s">
        <v>241</v>
      </c>
      <c r="L36" s="662"/>
      <c r="M36" s="662"/>
      <c r="N36" s="662"/>
      <c r="O36" s="662"/>
      <c r="P36" s="662"/>
    </row>
    <row r="39" ht="15.75">
      <c r="A39" s="128" t="s">
        <v>41</v>
      </c>
    </row>
    <row r="40" spans="1:6" ht="15.75">
      <c r="A40" s="129"/>
      <c r="B40" s="130" t="s">
        <v>48</v>
      </c>
      <c r="C40" s="130"/>
      <c r="D40" s="130"/>
      <c r="E40" s="130"/>
      <c r="F40" s="130"/>
    </row>
    <row r="41" spans="1:14" ht="15.75" customHeight="1">
      <c r="A41" s="131" t="s">
        <v>25</v>
      </c>
      <c r="B41" s="660" t="s">
        <v>51</v>
      </c>
      <c r="C41" s="660"/>
      <c r="D41" s="660"/>
      <c r="E41" s="660"/>
      <c r="F41" s="660"/>
      <c r="G41" s="131"/>
      <c r="H41" s="131"/>
      <c r="I41" s="131"/>
      <c r="J41" s="131"/>
      <c r="K41" s="131"/>
      <c r="L41" s="131"/>
      <c r="M41" s="131"/>
      <c r="N41" s="131"/>
    </row>
    <row r="42" spans="1:14" ht="15" customHeight="1">
      <c r="A42" s="131"/>
      <c r="B42" s="659" t="s">
        <v>52</v>
      </c>
      <c r="C42" s="659"/>
      <c r="D42" s="659"/>
      <c r="E42" s="659"/>
      <c r="F42" s="659"/>
      <c r="G42" s="659"/>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A12:B12"/>
    <mergeCell ref="A11:B11"/>
    <mergeCell ref="P8:P9"/>
    <mergeCell ref="O8:O9"/>
    <mergeCell ref="N7:N9"/>
    <mergeCell ref="H8:H9"/>
    <mergeCell ref="L8:L9"/>
    <mergeCell ref="M8:M9"/>
    <mergeCell ref="N6:P6"/>
    <mergeCell ref="O7:P7"/>
    <mergeCell ref="L7:M7"/>
    <mergeCell ref="M1:P1"/>
    <mergeCell ref="M2:P2"/>
    <mergeCell ref="M3:P3"/>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24" t="s">
        <v>97</v>
      </c>
      <c r="B1" s="624"/>
      <c r="C1" s="624"/>
      <c r="D1" s="717" t="s">
        <v>352</v>
      </c>
      <c r="E1" s="717"/>
      <c r="F1" s="717"/>
      <c r="G1" s="717"/>
      <c r="H1" s="717"/>
      <c r="I1" s="717"/>
      <c r="J1" s="721" t="s">
        <v>353</v>
      </c>
      <c r="K1" s="722"/>
      <c r="L1" s="722"/>
    </row>
    <row r="2" spans="1:13" ht="15.75" customHeight="1">
      <c r="A2" s="723" t="s">
        <v>298</v>
      </c>
      <c r="B2" s="723"/>
      <c r="C2" s="723"/>
      <c r="D2" s="717"/>
      <c r="E2" s="717"/>
      <c r="F2" s="717"/>
      <c r="G2" s="717"/>
      <c r="H2" s="717"/>
      <c r="I2" s="717"/>
      <c r="J2" s="722" t="s">
        <v>299</v>
      </c>
      <c r="K2" s="722"/>
      <c r="L2" s="722"/>
      <c r="M2" s="133"/>
    </row>
    <row r="3" spans="1:13" ht="15.75" customHeight="1">
      <c r="A3" s="631" t="s">
        <v>250</v>
      </c>
      <c r="B3" s="631"/>
      <c r="C3" s="631"/>
      <c r="D3" s="717"/>
      <c r="E3" s="717"/>
      <c r="F3" s="717"/>
      <c r="G3" s="717"/>
      <c r="H3" s="717"/>
      <c r="I3" s="717"/>
      <c r="J3" s="721" t="s">
        <v>354</v>
      </c>
      <c r="K3" s="721"/>
      <c r="L3" s="721"/>
      <c r="M3" s="37"/>
    </row>
    <row r="4" spans="1:13" ht="15.75" customHeight="1">
      <c r="A4" s="720" t="s">
        <v>252</v>
      </c>
      <c r="B4" s="720"/>
      <c r="C4" s="720"/>
      <c r="D4" s="719"/>
      <c r="E4" s="719"/>
      <c r="F4" s="719"/>
      <c r="G4" s="719"/>
      <c r="H4" s="719"/>
      <c r="I4" s="719"/>
      <c r="J4" s="722" t="s">
        <v>300</v>
      </c>
      <c r="K4" s="722"/>
      <c r="L4" s="722"/>
      <c r="M4" s="133"/>
    </row>
    <row r="5" spans="1:13" ht="15.75">
      <c r="A5" s="134"/>
      <c r="B5" s="134"/>
      <c r="C5" s="34"/>
      <c r="D5" s="34"/>
      <c r="E5" s="34"/>
      <c r="F5" s="34"/>
      <c r="G5" s="34"/>
      <c r="H5" s="34"/>
      <c r="I5" s="34"/>
      <c r="J5" s="718" t="s">
        <v>8</v>
      </c>
      <c r="K5" s="718"/>
      <c r="L5" s="718"/>
      <c r="M5" s="133"/>
    </row>
    <row r="6" spans="1:14" ht="15.75">
      <c r="A6" s="707" t="s">
        <v>55</v>
      </c>
      <c r="B6" s="708"/>
      <c r="C6" s="668" t="s">
        <v>301</v>
      </c>
      <c r="D6" s="726" t="s">
        <v>302</v>
      </c>
      <c r="E6" s="726"/>
      <c r="F6" s="726"/>
      <c r="G6" s="726"/>
      <c r="H6" s="726"/>
      <c r="I6" s="726"/>
      <c r="J6" s="644" t="s">
        <v>95</v>
      </c>
      <c r="K6" s="644"/>
      <c r="L6" s="644"/>
      <c r="M6" s="724" t="s">
        <v>303</v>
      </c>
      <c r="N6" s="725" t="s">
        <v>304</v>
      </c>
    </row>
    <row r="7" spans="1:14" ht="15.75" customHeight="1">
      <c r="A7" s="709"/>
      <c r="B7" s="710"/>
      <c r="C7" s="668"/>
      <c r="D7" s="726" t="s">
        <v>7</v>
      </c>
      <c r="E7" s="726"/>
      <c r="F7" s="726"/>
      <c r="G7" s="726"/>
      <c r="H7" s="726"/>
      <c r="I7" s="726"/>
      <c r="J7" s="644"/>
      <c r="K7" s="644"/>
      <c r="L7" s="644"/>
      <c r="M7" s="724"/>
      <c r="N7" s="725"/>
    </row>
    <row r="8" spans="1:14" s="73" customFormat="1" ht="31.5" customHeight="1">
      <c r="A8" s="709"/>
      <c r="B8" s="710"/>
      <c r="C8" s="668"/>
      <c r="D8" s="644" t="s">
        <v>93</v>
      </c>
      <c r="E8" s="644" t="s">
        <v>94</v>
      </c>
      <c r="F8" s="644"/>
      <c r="G8" s="644"/>
      <c r="H8" s="644"/>
      <c r="I8" s="644"/>
      <c r="J8" s="644"/>
      <c r="K8" s="644"/>
      <c r="L8" s="644"/>
      <c r="M8" s="724"/>
      <c r="N8" s="725"/>
    </row>
    <row r="9" spans="1:14" s="73" customFormat="1" ht="15.75" customHeight="1">
      <c r="A9" s="709"/>
      <c r="B9" s="710"/>
      <c r="C9" s="668"/>
      <c r="D9" s="644"/>
      <c r="E9" s="644" t="s">
        <v>96</v>
      </c>
      <c r="F9" s="644" t="s">
        <v>7</v>
      </c>
      <c r="G9" s="644"/>
      <c r="H9" s="644"/>
      <c r="I9" s="644"/>
      <c r="J9" s="644" t="s">
        <v>7</v>
      </c>
      <c r="K9" s="644"/>
      <c r="L9" s="644"/>
      <c r="M9" s="724"/>
      <c r="N9" s="725"/>
    </row>
    <row r="10" spans="1:14" s="73" customFormat="1" ht="86.25" customHeight="1">
      <c r="A10" s="711"/>
      <c r="B10" s="712"/>
      <c r="C10" s="668"/>
      <c r="D10" s="644"/>
      <c r="E10" s="644"/>
      <c r="F10" s="104" t="s">
        <v>22</v>
      </c>
      <c r="G10" s="104" t="s">
        <v>24</v>
      </c>
      <c r="H10" s="104" t="s">
        <v>16</v>
      </c>
      <c r="I10" s="104" t="s">
        <v>23</v>
      </c>
      <c r="J10" s="104" t="s">
        <v>15</v>
      </c>
      <c r="K10" s="104" t="s">
        <v>20</v>
      </c>
      <c r="L10" s="104" t="s">
        <v>21</v>
      </c>
      <c r="M10" s="724"/>
      <c r="N10" s="725"/>
    </row>
    <row r="11" spans="1:32" ht="13.5" customHeight="1">
      <c r="A11" s="701" t="s">
        <v>5</v>
      </c>
      <c r="B11" s="702"/>
      <c r="C11" s="135">
        <v>1</v>
      </c>
      <c r="D11" s="135" t="s">
        <v>44</v>
      </c>
      <c r="E11" s="135" t="s">
        <v>47</v>
      </c>
      <c r="F11" s="135" t="s">
        <v>56</v>
      </c>
      <c r="G11" s="135" t="s">
        <v>57</v>
      </c>
      <c r="H11" s="135" t="s">
        <v>58</v>
      </c>
      <c r="I11" s="135" t="s">
        <v>59</v>
      </c>
      <c r="J11" s="135" t="s">
        <v>60</v>
      </c>
      <c r="K11" s="135" t="s">
        <v>61</v>
      </c>
      <c r="L11" s="135" t="s">
        <v>81</v>
      </c>
      <c r="M11" s="136"/>
      <c r="N11" s="137"/>
      <c r="AF11" s="33" t="s">
        <v>264</v>
      </c>
    </row>
    <row r="12" spans="1:14" ht="24" customHeight="1">
      <c r="A12" s="715" t="s">
        <v>295</v>
      </c>
      <c r="B12" s="716"/>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713" t="s">
        <v>251</v>
      </c>
      <c r="B13" s="714"/>
      <c r="C13" s="139">
        <v>59</v>
      </c>
      <c r="D13" s="139">
        <v>43</v>
      </c>
      <c r="E13" s="139">
        <v>0</v>
      </c>
      <c r="F13" s="139">
        <v>5</v>
      </c>
      <c r="G13" s="139">
        <v>2</v>
      </c>
      <c r="H13" s="139">
        <v>7</v>
      </c>
      <c r="I13" s="139">
        <v>2</v>
      </c>
      <c r="J13" s="139">
        <v>10</v>
      </c>
      <c r="K13" s="139">
        <v>44</v>
      </c>
      <c r="L13" s="139">
        <v>5</v>
      </c>
      <c r="M13" s="136"/>
      <c r="N13" s="137"/>
    </row>
    <row r="14" spans="1:37" s="52" customFormat="1" ht="16.5" customHeight="1">
      <c r="A14" s="699" t="s">
        <v>30</v>
      </c>
      <c r="B14" s="700"/>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78</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265</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267</v>
      </c>
    </row>
    <row r="18" spans="1:14" s="148" customFormat="1" ht="16.5" customHeight="1">
      <c r="A18" s="147" t="s">
        <v>44</v>
      </c>
      <c r="B18" s="68" t="s">
        <v>297</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47</v>
      </c>
      <c r="B19" s="68" t="s">
        <v>268</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56</v>
      </c>
      <c r="B20" s="68" t="s">
        <v>269</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57</v>
      </c>
      <c r="B21" s="68" t="s">
        <v>270</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272</v>
      </c>
      <c r="AK21" s="148" t="s">
        <v>273</v>
      </c>
      <c r="AL21" s="148" t="s">
        <v>274</v>
      </c>
      <c r="AM21" s="63" t="s">
        <v>275</v>
      </c>
    </row>
    <row r="22" spans="1:39" s="148" customFormat="1" ht="16.5" customHeight="1">
      <c r="A22" s="147" t="s">
        <v>58</v>
      </c>
      <c r="B22" s="68" t="s">
        <v>271</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277</v>
      </c>
    </row>
    <row r="23" spans="1:14" s="148" customFormat="1" ht="16.5" customHeight="1">
      <c r="A23" s="147" t="s">
        <v>59</v>
      </c>
      <c r="B23" s="68" t="s">
        <v>276</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60</v>
      </c>
      <c r="B24" s="68" t="s">
        <v>278</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272</v>
      </c>
    </row>
    <row r="25" spans="1:36" s="148" customFormat="1" ht="16.5" customHeight="1">
      <c r="A25" s="147" t="s">
        <v>61</v>
      </c>
      <c r="B25" s="68" t="s">
        <v>279</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281</v>
      </c>
    </row>
    <row r="26" spans="1:44" s="70" customFormat="1" ht="16.5" customHeight="1">
      <c r="A26" s="151" t="s">
        <v>81</v>
      </c>
      <c r="B26" s="68" t="s">
        <v>280</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82</v>
      </c>
      <c r="B27" s="68" t="s">
        <v>282</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284</v>
      </c>
      <c r="AI28" s="157">
        <f>82/88</f>
        <v>0.9318181818181818</v>
      </c>
    </row>
    <row r="29" spans="1:13" ht="16.5" customHeight="1">
      <c r="A29" s="657" t="s">
        <v>355</v>
      </c>
      <c r="B29" s="703"/>
      <c r="C29" s="703"/>
      <c r="D29" s="703"/>
      <c r="E29" s="158"/>
      <c r="F29" s="158"/>
      <c r="G29" s="158"/>
      <c r="H29" s="705" t="s">
        <v>305</v>
      </c>
      <c r="I29" s="705"/>
      <c r="J29" s="705"/>
      <c r="K29" s="705"/>
      <c r="L29" s="705"/>
      <c r="M29" s="159"/>
    </row>
    <row r="30" spans="1:12" ht="18.75">
      <c r="A30" s="703"/>
      <c r="B30" s="703"/>
      <c r="C30" s="703"/>
      <c r="D30" s="703"/>
      <c r="E30" s="158"/>
      <c r="F30" s="158"/>
      <c r="G30" s="158"/>
      <c r="H30" s="706" t="s">
        <v>306</v>
      </c>
      <c r="I30" s="706"/>
      <c r="J30" s="706"/>
      <c r="K30" s="706"/>
      <c r="L30" s="706"/>
    </row>
    <row r="31" spans="1:12" s="32" customFormat="1" ht="16.5" customHeight="1">
      <c r="A31" s="652"/>
      <c r="B31" s="652"/>
      <c r="C31" s="652"/>
      <c r="D31" s="652"/>
      <c r="E31" s="160"/>
      <c r="F31" s="160"/>
      <c r="G31" s="160"/>
      <c r="H31" s="653"/>
      <c r="I31" s="653"/>
      <c r="J31" s="653"/>
      <c r="K31" s="653"/>
      <c r="L31" s="653"/>
    </row>
    <row r="32" spans="1:12" ht="18.75">
      <c r="A32" s="89"/>
      <c r="B32" s="652" t="s">
        <v>287</v>
      </c>
      <c r="C32" s="652"/>
      <c r="D32" s="652"/>
      <c r="E32" s="160"/>
      <c r="F32" s="160"/>
      <c r="G32" s="160"/>
      <c r="H32" s="160"/>
      <c r="I32" s="704" t="s">
        <v>287</v>
      </c>
      <c r="J32" s="704"/>
      <c r="K32" s="704"/>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616" t="s">
        <v>240</v>
      </c>
      <c r="B37" s="616"/>
      <c r="C37" s="616"/>
      <c r="D37" s="616"/>
      <c r="E37" s="91"/>
      <c r="F37" s="91"/>
      <c r="G37" s="91"/>
      <c r="H37" s="617" t="s">
        <v>240</v>
      </c>
      <c r="I37" s="617"/>
      <c r="J37" s="617"/>
      <c r="K37" s="617"/>
      <c r="L37" s="617"/>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98" t="s">
        <v>48</v>
      </c>
      <c r="C40" s="698"/>
      <c r="D40" s="698"/>
      <c r="E40" s="698"/>
      <c r="F40" s="698"/>
      <c r="G40" s="698"/>
      <c r="H40" s="698"/>
      <c r="I40" s="698"/>
      <c r="J40" s="698"/>
      <c r="K40" s="698"/>
      <c r="L40" s="698"/>
    </row>
    <row r="41" spans="1:12" ht="16.5" customHeight="1">
      <c r="A41" s="165"/>
      <c r="B41" s="697" t="s">
        <v>50</v>
      </c>
      <c r="C41" s="697"/>
      <c r="D41" s="697"/>
      <c r="E41" s="697"/>
      <c r="F41" s="697"/>
      <c r="G41" s="697"/>
      <c r="H41" s="697"/>
      <c r="I41" s="697"/>
      <c r="J41" s="697"/>
      <c r="K41" s="697"/>
      <c r="L41" s="697"/>
    </row>
    <row r="42" ht="15.75">
      <c r="B42" s="38" t="s">
        <v>49</v>
      </c>
    </row>
  </sheetData>
  <sheetProtection/>
  <mergeCells count="38">
    <mergeCell ref="A1:C1"/>
    <mergeCell ref="M6:M10"/>
    <mergeCell ref="N6:N10"/>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H29:L29"/>
    <mergeCell ref="H30:L30"/>
    <mergeCell ref="H31:L31"/>
    <mergeCell ref="A6:B10"/>
    <mergeCell ref="A13:B13"/>
    <mergeCell ref="A12:B12"/>
    <mergeCell ref="J9:L9"/>
    <mergeCell ref="J6:L8"/>
    <mergeCell ref="B41:L41"/>
    <mergeCell ref="B40:L40"/>
    <mergeCell ref="A14:B14"/>
    <mergeCell ref="A11:B11"/>
    <mergeCell ref="A29:D30"/>
    <mergeCell ref="H37:L37"/>
    <mergeCell ref="A37:D37"/>
    <mergeCell ref="B32:D32"/>
    <mergeCell ref="I32:K32"/>
    <mergeCell ref="A31:D31"/>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61" t="s">
        <v>128</v>
      </c>
      <c r="B1" s="761"/>
      <c r="C1" s="761"/>
      <c r="D1" s="757" t="s">
        <v>309</v>
      </c>
      <c r="E1" s="758"/>
      <c r="F1" s="758"/>
      <c r="G1" s="758"/>
      <c r="H1" s="758"/>
      <c r="I1" s="758"/>
      <c r="J1" s="758"/>
      <c r="K1" s="758"/>
      <c r="L1" s="758"/>
      <c r="M1" s="758"/>
      <c r="N1" s="758"/>
      <c r="O1" s="212"/>
      <c r="P1" s="169" t="s">
        <v>359</v>
      </c>
      <c r="Q1" s="168"/>
      <c r="R1" s="168"/>
      <c r="S1" s="168"/>
      <c r="T1" s="168"/>
      <c r="U1" s="212"/>
    </row>
    <row r="2" spans="1:21" ht="16.5" customHeight="1">
      <c r="A2" s="759" t="s">
        <v>310</v>
      </c>
      <c r="B2" s="759"/>
      <c r="C2" s="759"/>
      <c r="D2" s="758"/>
      <c r="E2" s="758"/>
      <c r="F2" s="758"/>
      <c r="G2" s="758"/>
      <c r="H2" s="758"/>
      <c r="I2" s="758"/>
      <c r="J2" s="758"/>
      <c r="K2" s="758"/>
      <c r="L2" s="758"/>
      <c r="M2" s="758"/>
      <c r="N2" s="758"/>
      <c r="O2" s="213"/>
      <c r="P2" s="750" t="s">
        <v>311</v>
      </c>
      <c r="Q2" s="750"/>
      <c r="R2" s="750"/>
      <c r="S2" s="750"/>
      <c r="T2" s="750"/>
      <c r="U2" s="213"/>
    </row>
    <row r="3" spans="1:21" ht="16.5" customHeight="1">
      <c r="A3" s="730" t="s">
        <v>312</v>
      </c>
      <c r="B3" s="730"/>
      <c r="C3" s="730"/>
      <c r="D3" s="762" t="s">
        <v>313</v>
      </c>
      <c r="E3" s="762"/>
      <c r="F3" s="762"/>
      <c r="G3" s="762"/>
      <c r="H3" s="762"/>
      <c r="I3" s="762"/>
      <c r="J3" s="762"/>
      <c r="K3" s="762"/>
      <c r="L3" s="762"/>
      <c r="M3" s="762"/>
      <c r="N3" s="762"/>
      <c r="O3" s="213"/>
      <c r="P3" s="173" t="s">
        <v>358</v>
      </c>
      <c r="Q3" s="213"/>
      <c r="R3" s="213"/>
      <c r="S3" s="213"/>
      <c r="T3" s="213"/>
      <c r="U3" s="213"/>
    </row>
    <row r="4" spans="1:21" ht="16.5" customHeight="1">
      <c r="A4" s="763" t="s">
        <v>252</v>
      </c>
      <c r="B4" s="763"/>
      <c r="C4" s="763"/>
      <c r="D4" s="739"/>
      <c r="E4" s="739"/>
      <c r="F4" s="739"/>
      <c r="G4" s="739"/>
      <c r="H4" s="739"/>
      <c r="I4" s="739"/>
      <c r="J4" s="739"/>
      <c r="K4" s="739"/>
      <c r="L4" s="739"/>
      <c r="M4" s="739"/>
      <c r="N4" s="739"/>
      <c r="O4" s="213"/>
      <c r="P4" s="172" t="s">
        <v>291</v>
      </c>
      <c r="Q4" s="213"/>
      <c r="R4" s="213"/>
      <c r="S4" s="213"/>
      <c r="T4" s="213"/>
      <c r="U4" s="213"/>
    </row>
    <row r="5" spans="12:21" ht="16.5" customHeight="1">
      <c r="L5" s="214"/>
      <c r="M5" s="214"/>
      <c r="N5" s="214"/>
      <c r="O5" s="176"/>
      <c r="P5" s="175" t="s">
        <v>314</v>
      </c>
      <c r="Q5" s="176"/>
      <c r="R5" s="176"/>
      <c r="S5" s="176"/>
      <c r="T5" s="176"/>
      <c r="U5" s="172"/>
    </row>
    <row r="6" spans="1:21" s="217" customFormat="1" ht="15.75" customHeight="1">
      <c r="A6" s="751" t="s">
        <v>55</v>
      </c>
      <c r="B6" s="752"/>
      <c r="C6" s="735" t="s">
        <v>129</v>
      </c>
      <c r="D6" s="760" t="s">
        <v>130</v>
      </c>
      <c r="E6" s="734"/>
      <c r="F6" s="734"/>
      <c r="G6" s="734"/>
      <c r="H6" s="734"/>
      <c r="I6" s="734"/>
      <c r="J6" s="734"/>
      <c r="K6" s="734"/>
      <c r="L6" s="734"/>
      <c r="M6" s="734"/>
      <c r="N6" s="734"/>
      <c r="O6" s="734"/>
      <c r="P6" s="734"/>
      <c r="Q6" s="734"/>
      <c r="R6" s="734"/>
      <c r="S6" s="734"/>
      <c r="T6" s="735" t="s">
        <v>131</v>
      </c>
      <c r="U6" s="216"/>
    </row>
    <row r="7" spans="1:20" s="218" customFormat="1" ht="12.75" customHeight="1">
      <c r="A7" s="753"/>
      <c r="B7" s="754"/>
      <c r="C7" s="735"/>
      <c r="D7" s="736" t="s">
        <v>126</v>
      </c>
      <c r="E7" s="734" t="s">
        <v>7</v>
      </c>
      <c r="F7" s="734"/>
      <c r="G7" s="734"/>
      <c r="H7" s="734"/>
      <c r="I7" s="734"/>
      <c r="J7" s="734"/>
      <c r="K7" s="734"/>
      <c r="L7" s="734"/>
      <c r="M7" s="734"/>
      <c r="N7" s="734"/>
      <c r="O7" s="734"/>
      <c r="P7" s="734"/>
      <c r="Q7" s="734"/>
      <c r="R7" s="734"/>
      <c r="S7" s="734"/>
      <c r="T7" s="735"/>
    </row>
    <row r="8" spans="1:21" s="218" customFormat="1" ht="43.5" customHeight="1">
      <c r="A8" s="753"/>
      <c r="B8" s="754"/>
      <c r="C8" s="735"/>
      <c r="D8" s="737"/>
      <c r="E8" s="767" t="s">
        <v>132</v>
      </c>
      <c r="F8" s="735"/>
      <c r="G8" s="735"/>
      <c r="H8" s="735" t="s">
        <v>133</v>
      </c>
      <c r="I8" s="735"/>
      <c r="J8" s="735"/>
      <c r="K8" s="735" t="s">
        <v>134</v>
      </c>
      <c r="L8" s="735"/>
      <c r="M8" s="735" t="s">
        <v>135</v>
      </c>
      <c r="N8" s="735"/>
      <c r="O8" s="735"/>
      <c r="P8" s="735" t="s">
        <v>136</v>
      </c>
      <c r="Q8" s="735" t="s">
        <v>137</v>
      </c>
      <c r="R8" s="735" t="s">
        <v>138</v>
      </c>
      <c r="S8" s="764" t="s">
        <v>139</v>
      </c>
      <c r="T8" s="735"/>
      <c r="U8" s="727" t="s">
        <v>315</v>
      </c>
    </row>
    <row r="9" spans="1:21" s="218" customFormat="1" ht="44.25" customHeight="1">
      <c r="A9" s="755"/>
      <c r="B9" s="756"/>
      <c r="C9" s="735"/>
      <c r="D9" s="738"/>
      <c r="E9" s="219" t="s">
        <v>140</v>
      </c>
      <c r="F9" s="215" t="s">
        <v>141</v>
      </c>
      <c r="G9" s="215" t="s">
        <v>316</v>
      </c>
      <c r="H9" s="215" t="s">
        <v>142</v>
      </c>
      <c r="I9" s="215" t="s">
        <v>143</v>
      </c>
      <c r="J9" s="215" t="s">
        <v>144</v>
      </c>
      <c r="K9" s="215" t="s">
        <v>141</v>
      </c>
      <c r="L9" s="215" t="s">
        <v>145</v>
      </c>
      <c r="M9" s="215" t="s">
        <v>146</v>
      </c>
      <c r="N9" s="215" t="s">
        <v>147</v>
      </c>
      <c r="O9" s="215" t="s">
        <v>317</v>
      </c>
      <c r="P9" s="735"/>
      <c r="Q9" s="735"/>
      <c r="R9" s="735"/>
      <c r="S9" s="764"/>
      <c r="T9" s="735"/>
      <c r="U9" s="728"/>
    </row>
    <row r="10" spans="1:21" s="222" customFormat="1" ht="15.75" customHeight="1">
      <c r="A10" s="731" t="s">
        <v>6</v>
      </c>
      <c r="B10" s="732"/>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28"/>
    </row>
    <row r="11" spans="1:21" s="222" customFormat="1" ht="15.75" customHeight="1">
      <c r="A11" s="765" t="s">
        <v>295</v>
      </c>
      <c r="B11" s="766"/>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29"/>
    </row>
    <row r="12" spans="1:21" s="222" customFormat="1" ht="15.75" customHeight="1">
      <c r="A12" s="741" t="s">
        <v>296</v>
      </c>
      <c r="B12" s="742"/>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47" t="s">
        <v>30</v>
      </c>
      <c r="B13" s="748"/>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78</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265</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297</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47</v>
      </c>
      <c r="B18" s="68" t="s">
        <v>268</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56</v>
      </c>
      <c r="B19" s="68" t="s">
        <v>269</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57</v>
      </c>
      <c r="B20" s="68" t="s">
        <v>270</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58</v>
      </c>
      <c r="B21" s="68" t="s">
        <v>271</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59</v>
      </c>
      <c r="B22" s="68" t="s">
        <v>276</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60</v>
      </c>
      <c r="B23" s="68" t="s">
        <v>278</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61</v>
      </c>
      <c r="B24" s="68" t="s">
        <v>279</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81</v>
      </c>
      <c r="B25" s="68" t="s">
        <v>280</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82</v>
      </c>
      <c r="B26" s="68" t="s">
        <v>282</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33" t="s">
        <v>283</v>
      </c>
      <c r="C28" s="733"/>
      <c r="D28" s="733"/>
      <c r="E28" s="733"/>
      <c r="F28" s="181"/>
      <c r="G28" s="181"/>
      <c r="H28" s="181"/>
      <c r="I28" s="181"/>
      <c r="J28" s="181"/>
      <c r="K28" s="181" t="s">
        <v>148</v>
      </c>
      <c r="L28" s="182"/>
      <c r="M28" s="740" t="s">
        <v>318</v>
      </c>
      <c r="N28" s="740"/>
      <c r="O28" s="740"/>
      <c r="P28" s="740"/>
      <c r="Q28" s="740"/>
      <c r="R28" s="740"/>
      <c r="S28" s="740"/>
      <c r="T28" s="740"/>
    </row>
    <row r="29" spans="1:20" s="233" customFormat="1" ht="18.75" customHeight="1">
      <c r="A29" s="232"/>
      <c r="B29" s="746" t="s">
        <v>149</v>
      </c>
      <c r="C29" s="746"/>
      <c r="D29" s="746"/>
      <c r="E29" s="234"/>
      <c r="F29" s="183"/>
      <c r="G29" s="183"/>
      <c r="H29" s="183"/>
      <c r="I29" s="183"/>
      <c r="J29" s="183"/>
      <c r="K29" s="183"/>
      <c r="L29" s="182"/>
      <c r="M29" s="749" t="s">
        <v>307</v>
      </c>
      <c r="N29" s="749"/>
      <c r="O29" s="749"/>
      <c r="P29" s="749"/>
      <c r="Q29" s="749"/>
      <c r="R29" s="749"/>
      <c r="S29" s="749"/>
      <c r="T29" s="749"/>
    </row>
    <row r="30" spans="1:20" s="233" customFormat="1" ht="18.75">
      <c r="A30" s="184"/>
      <c r="B30" s="743"/>
      <c r="C30" s="743"/>
      <c r="D30" s="743"/>
      <c r="E30" s="186"/>
      <c r="F30" s="186"/>
      <c r="G30" s="186"/>
      <c r="H30" s="186"/>
      <c r="I30" s="186"/>
      <c r="J30" s="186"/>
      <c r="K30" s="186"/>
      <c r="L30" s="186"/>
      <c r="M30" s="744"/>
      <c r="N30" s="744"/>
      <c r="O30" s="744"/>
      <c r="P30" s="744"/>
      <c r="Q30" s="744"/>
      <c r="R30" s="744"/>
      <c r="S30" s="744"/>
      <c r="T30" s="744"/>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151</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152</v>
      </c>
      <c r="C34" s="186"/>
      <c r="D34" s="186"/>
      <c r="E34" s="186"/>
      <c r="F34" s="186"/>
      <c r="G34" s="186"/>
      <c r="H34" s="186"/>
      <c r="I34" s="186"/>
      <c r="J34" s="186"/>
      <c r="K34" s="186"/>
      <c r="L34" s="186"/>
      <c r="M34" s="186"/>
      <c r="N34" s="186"/>
      <c r="O34" s="186"/>
      <c r="P34" s="186"/>
      <c r="Q34" s="186"/>
      <c r="R34" s="186"/>
      <c r="S34" s="186"/>
      <c r="T34" s="186"/>
    </row>
    <row r="35" spans="2:20" ht="18.75" hidden="1">
      <c r="B35" s="236" t="s">
        <v>153</v>
      </c>
      <c r="C35" s="186"/>
      <c r="D35" s="186"/>
      <c r="E35" s="186"/>
      <c r="F35" s="186"/>
      <c r="G35" s="186"/>
      <c r="H35" s="186"/>
      <c r="I35" s="186"/>
      <c r="J35" s="186"/>
      <c r="K35" s="186"/>
      <c r="L35" s="186"/>
      <c r="M35" s="186"/>
      <c r="N35" s="186"/>
      <c r="O35" s="186"/>
      <c r="P35" s="186"/>
      <c r="Q35" s="186"/>
      <c r="R35" s="186"/>
      <c r="S35" s="186"/>
      <c r="T35" s="186"/>
    </row>
    <row r="36" spans="2:20" s="211" customFormat="1" ht="18.75">
      <c r="B36" s="745" t="s">
        <v>287</v>
      </c>
      <c r="C36" s="745"/>
      <c r="D36" s="745"/>
      <c r="E36" s="236"/>
      <c r="F36" s="236"/>
      <c r="G36" s="236"/>
      <c r="H36" s="236"/>
      <c r="I36" s="236"/>
      <c r="J36" s="236"/>
      <c r="K36" s="236"/>
      <c r="L36" s="236"/>
      <c r="M36" s="236"/>
      <c r="N36" s="745" t="s">
        <v>287</v>
      </c>
      <c r="O36" s="745"/>
      <c r="P36" s="745"/>
      <c r="Q36" s="745"/>
      <c r="R36" s="745"/>
      <c r="S36" s="745"/>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616" t="s">
        <v>240</v>
      </c>
      <c r="C38" s="616"/>
      <c r="D38" s="616"/>
      <c r="E38" s="210"/>
      <c r="F38" s="210"/>
      <c r="G38" s="210"/>
      <c r="H38" s="210"/>
      <c r="I38" s="182"/>
      <c r="J38" s="182"/>
      <c r="K38" s="182"/>
      <c r="L38" s="182"/>
      <c r="M38" s="617" t="s">
        <v>241</v>
      </c>
      <c r="N38" s="617"/>
      <c r="O38" s="617"/>
      <c r="P38" s="617"/>
      <c r="Q38" s="617"/>
      <c r="R38" s="617"/>
      <c r="S38" s="617"/>
      <c r="T38" s="617"/>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801" t="s">
        <v>154</v>
      </c>
      <c r="B1" s="801"/>
      <c r="C1" s="801"/>
      <c r="D1" s="238"/>
      <c r="E1" s="806" t="s">
        <v>155</v>
      </c>
      <c r="F1" s="806"/>
      <c r="G1" s="806"/>
      <c r="H1" s="806"/>
      <c r="I1" s="806"/>
      <c r="J1" s="806"/>
      <c r="K1" s="806"/>
      <c r="L1" s="806"/>
      <c r="M1" s="806"/>
      <c r="N1" s="806"/>
      <c r="O1" s="191"/>
      <c r="P1" s="808" t="s">
        <v>357</v>
      </c>
      <c r="Q1" s="808"/>
      <c r="R1" s="808"/>
      <c r="S1" s="808"/>
      <c r="T1" s="808"/>
    </row>
    <row r="2" spans="1:20" ht="15.75" customHeight="1">
      <c r="A2" s="802" t="s">
        <v>319</v>
      </c>
      <c r="B2" s="802"/>
      <c r="C2" s="802"/>
      <c r="D2" s="802"/>
      <c r="E2" s="804" t="s">
        <v>156</v>
      </c>
      <c r="F2" s="804"/>
      <c r="G2" s="804"/>
      <c r="H2" s="804"/>
      <c r="I2" s="804"/>
      <c r="J2" s="804"/>
      <c r="K2" s="804"/>
      <c r="L2" s="804"/>
      <c r="M2" s="804"/>
      <c r="N2" s="804"/>
      <c r="O2" s="194"/>
      <c r="P2" s="809" t="s">
        <v>299</v>
      </c>
      <c r="Q2" s="809"/>
      <c r="R2" s="809"/>
      <c r="S2" s="809"/>
      <c r="T2" s="809"/>
    </row>
    <row r="3" spans="1:20" ht="17.25">
      <c r="A3" s="802" t="s">
        <v>250</v>
      </c>
      <c r="B3" s="802"/>
      <c r="C3" s="802"/>
      <c r="D3" s="239"/>
      <c r="E3" s="807" t="s">
        <v>251</v>
      </c>
      <c r="F3" s="807"/>
      <c r="G3" s="807"/>
      <c r="H3" s="807"/>
      <c r="I3" s="807"/>
      <c r="J3" s="807"/>
      <c r="K3" s="807"/>
      <c r="L3" s="807"/>
      <c r="M3" s="807"/>
      <c r="N3" s="807"/>
      <c r="O3" s="194"/>
      <c r="P3" s="810" t="s">
        <v>358</v>
      </c>
      <c r="Q3" s="810"/>
      <c r="R3" s="810"/>
      <c r="S3" s="810"/>
      <c r="T3" s="810"/>
    </row>
    <row r="4" spans="1:20" ht="18.75" customHeight="1">
      <c r="A4" s="803" t="s">
        <v>252</v>
      </c>
      <c r="B4" s="803"/>
      <c r="C4" s="803"/>
      <c r="D4" s="805"/>
      <c r="E4" s="805"/>
      <c r="F4" s="805"/>
      <c r="G4" s="805"/>
      <c r="H4" s="805"/>
      <c r="I4" s="805"/>
      <c r="J4" s="805"/>
      <c r="K4" s="805"/>
      <c r="L4" s="805"/>
      <c r="M4" s="805"/>
      <c r="N4" s="805"/>
      <c r="O4" s="195"/>
      <c r="P4" s="809" t="s">
        <v>291</v>
      </c>
      <c r="Q4" s="810"/>
      <c r="R4" s="810"/>
      <c r="S4" s="810"/>
      <c r="T4" s="810"/>
    </row>
    <row r="5" spans="1:23" ht="15">
      <c r="A5" s="208"/>
      <c r="B5" s="208"/>
      <c r="C5" s="240"/>
      <c r="D5" s="240"/>
      <c r="E5" s="208"/>
      <c r="F5" s="208"/>
      <c r="G5" s="208"/>
      <c r="H5" s="208"/>
      <c r="I5" s="208"/>
      <c r="J5" s="208"/>
      <c r="K5" s="208"/>
      <c r="L5" s="208"/>
      <c r="P5" s="782" t="s">
        <v>314</v>
      </c>
      <c r="Q5" s="782"/>
      <c r="R5" s="782"/>
      <c r="S5" s="782"/>
      <c r="T5" s="782"/>
      <c r="U5" s="241"/>
      <c r="V5" s="241"/>
      <c r="W5" s="241"/>
    </row>
    <row r="6" spans="1:23" ht="29.25" customHeight="1">
      <c r="A6" s="751" t="s">
        <v>55</v>
      </c>
      <c r="B6" s="774"/>
      <c r="C6" s="768" t="s">
        <v>2</v>
      </c>
      <c r="D6" s="783" t="s">
        <v>157</v>
      </c>
      <c r="E6" s="778"/>
      <c r="F6" s="778"/>
      <c r="G6" s="778"/>
      <c r="H6" s="778"/>
      <c r="I6" s="778"/>
      <c r="J6" s="779"/>
      <c r="K6" s="788" t="s">
        <v>158</v>
      </c>
      <c r="L6" s="789"/>
      <c r="M6" s="789"/>
      <c r="N6" s="789"/>
      <c r="O6" s="789"/>
      <c r="P6" s="789"/>
      <c r="Q6" s="789"/>
      <c r="R6" s="789"/>
      <c r="S6" s="789"/>
      <c r="T6" s="790"/>
      <c r="U6" s="242"/>
      <c r="V6" s="243"/>
      <c r="W6" s="243"/>
    </row>
    <row r="7" spans="1:20" ht="19.5" customHeight="1">
      <c r="A7" s="753"/>
      <c r="B7" s="775"/>
      <c r="C7" s="769"/>
      <c r="D7" s="778" t="s">
        <v>7</v>
      </c>
      <c r="E7" s="778"/>
      <c r="F7" s="778"/>
      <c r="G7" s="778"/>
      <c r="H7" s="778"/>
      <c r="I7" s="778"/>
      <c r="J7" s="779"/>
      <c r="K7" s="791"/>
      <c r="L7" s="792"/>
      <c r="M7" s="792"/>
      <c r="N7" s="792"/>
      <c r="O7" s="792"/>
      <c r="P7" s="792"/>
      <c r="Q7" s="792"/>
      <c r="R7" s="792"/>
      <c r="S7" s="792"/>
      <c r="T7" s="793"/>
    </row>
    <row r="8" spans="1:20" ht="33" customHeight="1">
      <c r="A8" s="753"/>
      <c r="B8" s="775"/>
      <c r="C8" s="769"/>
      <c r="D8" s="777" t="s">
        <v>159</v>
      </c>
      <c r="E8" s="780"/>
      <c r="F8" s="771" t="s">
        <v>160</v>
      </c>
      <c r="G8" s="780"/>
      <c r="H8" s="771" t="s">
        <v>161</v>
      </c>
      <c r="I8" s="780"/>
      <c r="J8" s="771" t="s">
        <v>162</v>
      </c>
      <c r="K8" s="786" t="s">
        <v>163</v>
      </c>
      <c r="L8" s="786"/>
      <c r="M8" s="786"/>
      <c r="N8" s="786" t="s">
        <v>164</v>
      </c>
      <c r="O8" s="786"/>
      <c r="P8" s="786"/>
      <c r="Q8" s="771" t="s">
        <v>165</v>
      </c>
      <c r="R8" s="787" t="s">
        <v>166</v>
      </c>
      <c r="S8" s="787" t="s">
        <v>167</v>
      </c>
      <c r="T8" s="771" t="s">
        <v>168</v>
      </c>
    </row>
    <row r="9" spans="1:20" ht="18.75" customHeight="1">
      <c r="A9" s="753"/>
      <c r="B9" s="775"/>
      <c r="C9" s="769"/>
      <c r="D9" s="777" t="s">
        <v>169</v>
      </c>
      <c r="E9" s="771" t="s">
        <v>170</v>
      </c>
      <c r="F9" s="771" t="s">
        <v>169</v>
      </c>
      <c r="G9" s="771" t="s">
        <v>170</v>
      </c>
      <c r="H9" s="771" t="s">
        <v>169</v>
      </c>
      <c r="I9" s="771" t="s">
        <v>171</v>
      </c>
      <c r="J9" s="771"/>
      <c r="K9" s="786"/>
      <c r="L9" s="786"/>
      <c r="M9" s="786"/>
      <c r="N9" s="786"/>
      <c r="O9" s="786"/>
      <c r="P9" s="786"/>
      <c r="Q9" s="771"/>
      <c r="R9" s="787"/>
      <c r="S9" s="787"/>
      <c r="T9" s="771"/>
    </row>
    <row r="10" spans="1:20" ht="23.25" customHeight="1">
      <c r="A10" s="755"/>
      <c r="B10" s="776"/>
      <c r="C10" s="770"/>
      <c r="D10" s="777"/>
      <c r="E10" s="771"/>
      <c r="F10" s="771"/>
      <c r="G10" s="771"/>
      <c r="H10" s="771"/>
      <c r="I10" s="771"/>
      <c r="J10" s="771"/>
      <c r="K10" s="244" t="s">
        <v>172</v>
      </c>
      <c r="L10" s="244" t="s">
        <v>147</v>
      </c>
      <c r="M10" s="244" t="s">
        <v>173</v>
      </c>
      <c r="N10" s="244" t="s">
        <v>172</v>
      </c>
      <c r="O10" s="244" t="s">
        <v>174</v>
      </c>
      <c r="P10" s="244" t="s">
        <v>175</v>
      </c>
      <c r="Q10" s="771"/>
      <c r="R10" s="787"/>
      <c r="S10" s="787"/>
      <c r="T10" s="771"/>
    </row>
    <row r="11" spans="1:32" s="201" customFormat="1" ht="17.25" customHeight="1">
      <c r="A11" s="772" t="s">
        <v>6</v>
      </c>
      <c r="B11" s="773"/>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84" t="s">
        <v>320</v>
      </c>
      <c r="B12" s="785"/>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94" t="s">
        <v>296</v>
      </c>
      <c r="B13" s="795"/>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81" t="s">
        <v>176</v>
      </c>
      <c r="B14" s="777"/>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78</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265</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297</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268</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269</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270</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271</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276</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278</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279</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280</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282</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284</v>
      </c>
      <c r="AI28" s="190">
        <f>82/88</f>
        <v>0.9318181818181818</v>
      </c>
    </row>
    <row r="29" spans="1:20" ht="15.75" customHeight="1">
      <c r="A29" s="202"/>
      <c r="B29" s="797" t="s">
        <v>308</v>
      </c>
      <c r="C29" s="797"/>
      <c r="D29" s="797"/>
      <c r="E29" s="797"/>
      <c r="F29" s="258"/>
      <c r="G29" s="258"/>
      <c r="H29" s="258"/>
      <c r="I29" s="258"/>
      <c r="J29" s="258"/>
      <c r="K29" s="258"/>
      <c r="L29" s="206"/>
      <c r="M29" s="796" t="s">
        <v>321</v>
      </c>
      <c r="N29" s="796"/>
      <c r="O29" s="796"/>
      <c r="P29" s="796"/>
      <c r="Q29" s="796"/>
      <c r="R29" s="796"/>
      <c r="S29" s="796"/>
      <c r="T29" s="796"/>
    </row>
    <row r="30" spans="1:20" ht="18.75" customHeight="1">
      <c r="A30" s="202"/>
      <c r="B30" s="798" t="s">
        <v>149</v>
      </c>
      <c r="C30" s="798"/>
      <c r="D30" s="798"/>
      <c r="E30" s="798"/>
      <c r="F30" s="205"/>
      <c r="G30" s="205"/>
      <c r="H30" s="205"/>
      <c r="I30" s="205"/>
      <c r="J30" s="205"/>
      <c r="K30" s="205"/>
      <c r="L30" s="206"/>
      <c r="M30" s="799" t="s">
        <v>150</v>
      </c>
      <c r="N30" s="799"/>
      <c r="O30" s="799"/>
      <c r="P30" s="799"/>
      <c r="Q30" s="799"/>
      <c r="R30" s="799"/>
      <c r="S30" s="799"/>
      <c r="T30" s="799"/>
    </row>
    <row r="31" spans="1:20" ht="18.75">
      <c r="A31" s="208"/>
      <c r="B31" s="743"/>
      <c r="C31" s="743"/>
      <c r="D31" s="743"/>
      <c r="E31" s="743"/>
      <c r="F31" s="209"/>
      <c r="G31" s="209"/>
      <c r="H31" s="209"/>
      <c r="I31" s="209"/>
      <c r="J31" s="209"/>
      <c r="K31" s="209"/>
      <c r="L31" s="209"/>
      <c r="M31" s="744"/>
      <c r="N31" s="744"/>
      <c r="O31" s="744"/>
      <c r="P31" s="744"/>
      <c r="Q31" s="744"/>
      <c r="R31" s="744"/>
      <c r="S31" s="744"/>
      <c r="T31" s="744"/>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800" t="s">
        <v>287</v>
      </c>
      <c r="C33" s="800"/>
      <c r="D33" s="800"/>
      <c r="E33" s="800"/>
      <c r="F33" s="800"/>
      <c r="G33" s="259"/>
      <c r="H33" s="259"/>
      <c r="I33" s="259"/>
      <c r="J33" s="259"/>
      <c r="K33" s="259"/>
      <c r="L33" s="259"/>
      <c r="M33" s="259"/>
      <c r="N33" s="800" t="s">
        <v>287</v>
      </c>
      <c r="O33" s="800"/>
      <c r="P33" s="800"/>
      <c r="Q33" s="800"/>
      <c r="R33" s="800"/>
      <c r="S33" s="800"/>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616" t="s">
        <v>240</v>
      </c>
      <c r="C35" s="616"/>
      <c r="D35" s="616"/>
      <c r="E35" s="616"/>
      <c r="F35" s="210"/>
      <c r="G35" s="210"/>
      <c r="H35" s="210"/>
      <c r="I35" s="182"/>
      <c r="J35" s="182"/>
      <c r="K35" s="182"/>
      <c r="L35" s="182"/>
      <c r="M35" s="617" t="s">
        <v>241</v>
      </c>
      <c r="N35" s="617"/>
      <c r="O35" s="617"/>
      <c r="P35" s="617"/>
      <c r="Q35" s="617"/>
      <c r="R35" s="617"/>
      <c r="S35" s="617"/>
      <c r="T35" s="617"/>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125</v>
      </c>
    </row>
    <row r="39" spans="2:8" s="262" customFormat="1" ht="15" hidden="1">
      <c r="B39" s="263" t="s">
        <v>177</v>
      </c>
      <c r="C39" s="263"/>
      <c r="D39" s="263"/>
      <c r="E39" s="263"/>
      <c r="F39" s="263"/>
      <c r="G39" s="263"/>
      <c r="H39" s="263"/>
    </row>
    <row r="40" spans="2:8" s="264" customFormat="1" ht="15" hidden="1">
      <c r="B40" s="263" t="s">
        <v>178</v>
      </c>
      <c r="C40" s="189"/>
      <c r="D40" s="189"/>
      <c r="E40" s="189"/>
      <c r="F40" s="189"/>
      <c r="G40" s="189"/>
      <c r="H40" s="189"/>
    </row>
    <row r="41" ht="12.75" hidden="1"/>
    <row r="42" ht="12.75" hidden="1"/>
    <row r="43" ht="12.75" hidden="1"/>
    <row r="44" ht="12.75" hidden="1"/>
    <row r="45" ht="12.75" hidden="1"/>
  </sheetData>
  <sheetProtection/>
  <mergeCells count="48">
    <mergeCell ref="K8:M9"/>
    <mergeCell ref="J8:J10"/>
    <mergeCell ref="P1:T1"/>
    <mergeCell ref="P2:T2"/>
    <mergeCell ref="P3:T3"/>
    <mergeCell ref="P4:T4"/>
    <mergeCell ref="T8:T10"/>
    <mergeCell ref="S8:S10"/>
    <mergeCell ref="B33:F33"/>
    <mergeCell ref="N33:S33"/>
    <mergeCell ref="A1:C1"/>
    <mergeCell ref="A3:C3"/>
    <mergeCell ref="A4:C4"/>
    <mergeCell ref="E2:N2"/>
    <mergeCell ref="A2:D2"/>
    <mergeCell ref="D4:N4"/>
    <mergeCell ref="E1:N1"/>
    <mergeCell ref="E3:N3"/>
    <mergeCell ref="A13:B13"/>
    <mergeCell ref="D8:E8"/>
    <mergeCell ref="M35:T35"/>
    <mergeCell ref="M29:T29"/>
    <mergeCell ref="B35:E35"/>
    <mergeCell ref="B29:E29"/>
    <mergeCell ref="B30:E30"/>
    <mergeCell ref="B31:E31"/>
    <mergeCell ref="M30:T30"/>
    <mergeCell ref="M31:T31"/>
    <mergeCell ref="H8:I8"/>
    <mergeCell ref="I9:I10"/>
    <mergeCell ref="A14:B14"/>
    <mergeCell ref="P5:T5"/>
    <mergeCell ref="D6:J6"/>
    <mergeCell ref="A12:B12"/>
    <mergeCell ref="N8:P9"/>
    <mergeCell ref="Q8:Q10"/>
    <mergeCell ref="R8:R10"/>
    <mergeCell ref="K6:T7"/>
    <mergeCell ref="C6:C10"/>
    <mergeCell ref="E9:E10"/>
    <mergeCell ref="A11:B11"/>
    <mergeCell ref="F9:F10"/>
    <mergeCell ref="A6:B10"/>
    <mergeCell ref="D9:D10"/>
    <mergeCell ref="D7:J7"/>
    <mergeCell ref="F8:G8"/>
    <mergeCell ref="H9:H10"/>
    <mergeCell ref="G9:G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814" t="s">
        <v>179</v>
      </c>
      <c r="B1" s="814"/>
      <c r="C1" s="814"/>
      <c r="D1" s="817" t="s">
        <v>360</v>
      </c>
      <c r="E1" s="817"/>
      <c r="F1" s="817"/>
      <c r="G1" s="817"/>
      <c r="H1" s="817"/>
      <c r="I1" s="817"/>
      <c r="J1" s="818" t="s">
        <v>361</v>
      </c>
      <c r="K1" s="819"/>
      <c r="L1" s="819"/>
    </row>
    <row r="2" spans="1:12" ht="34.5" customHeight="1">
      <c r="A2" s="820" t="s">
        <v>322</v>
      </c>
      <c r="B2" s="820"/>
      <c r="C2" s="820"/>
      <c r="D2" s="817"/>
      <c r="E2" s="817"/>
      <c r="F2" s="817"/>
      <c r="G2" s="817"/>
      <c r="H2" s="817"/>
      <c r="I2" s="817"/>
      <c r="J2" s="821" t="s">
        <v>362</v>
      </c>
      <c r="K2" s="822"/>
      <c r="L2" s="822"/>
    </row>
    <row r="3" spans="1:12" ht="15" customHeight="1">
      <c r="A3" s="265" t="s">
        <v>252</v>
      </c>
      <c r="B3" s="174"/>
      <c r="C3" s="823"/>
      <c r="D3" s="823"/>
      <c r="E3" s="823"/>
      <c r="F3" s="823"/>
      <c r="G3" s="823"/>
      <c r="H3" s="823"/>
      <c r="I3" s="823"/>
      <c r="J3" s="815"/>
      <c r="K3" s="816"/>
      <c r="L3" s="816"/>
    </row>
    <row r="4" spans="1:12" ht="15.75" customHeight="1">
      <c r="A4" s="266"/>
      <c r="B4" s="266"/>
      <c r="C4" s="267"/>
      <c r="D4" s="267"/>
      <c r="E4" s="170"/>
      <c r="F4" s="170"/>
      <c r="G4" s="170"/>
      <c r="H4" s="268"/>
      <c r="I4" s="268"/>
      <c r="J4" s="811" t="s">
        <v>180</v>
      </c>
      <c r="K4" s="811"/>
      <c r="L4" s="811"/>
    </row>
    <row r="5" spans="1:12" s="269" customFormat="1" ht="28.5" customHeight="1">
      <c r="A5" s="825" t="s">
        <v>55</v>
      </c>
      <c r="B5" s="825"/>
      <c r="C5" s="735" t="s">
        <v>31</v>
      </c>
      <c r="D5" s="735" t="s">
        <v>181</v>
      </c>
      <c r="E5" s="735"/>
      <c r="F5" s="735"/>
      <c r="G5" s="735"/>
      <c r="H5" s="735" t="s">
        <v>182</v>
      </c>
      <c r="I5" s="735"/>
      <c r="J5" s="735" t="s">
        <v>183</v>
      </c>
      <c r="K5" s="735"/>
      <c r="L5" s="735"/>
    </row>
    <row r="6" spans="1:13" s="269" customFormat="1" ht="80.25" customHeight="1">
      <c r="A6" s="825"/>
      <c r="B6" s="825"/>
      <c r="C6" s="735"/>
      <c r="D6" s="215" t="s">
        <v>184</v>
      </c>
      <c r="E6" s="215" t="s">
        <v>185</v>
      </c>
      <c r="F6" s="215" t="s">
        <v>323</v>
      </c>
      <c r="G6" s="215" t="s">
        <v>186</v>
      </c>
      <c r="H6" s="215" t="s">
        <v>187</v>
      </c>
      <c r="I6" s="215" t="s">
        <v>188</v>
      </c>
      <c r="J6" s="215" t="s">
        <v>189</v>
      </c>
      <c r="K6" s="215" t="s">
        <v>190</v>
      </c>
      <c r="L6" s="215" t="s">
        <v>191</v>
      </c>
      <c r="M6" s="270"/>
    </row>
    <row r="7" spans="1:12" s="271" customFormat="1" ht="16.5" customHeight="1">
      <c r="A7" s="812" t="s">
        <v>6</v>
      </c>
      <c r="B7" s="812"/>
      <c r="C7" s="221">
        <v>1</v>
      </c>
      <c r="D7" s="221">
        <v>2</v>
      </c>
      <c r="E7" s="221">
        <v>3</v>
      </c>
      <c r="F7" s="221">
        <v>4</v>
      </c>
      <c r="G7" s="221">
        <v>5</v>
      </c>
      <c r="H7" s="221">
        <v>6</v>
      </c>
      <c r="I7" s="221">
        <v>7</v>
      </c>
      <c r="J7" s="221">
        <v>8</v>
      </c>
      <c r="K7" s="221">
        <v>9</v>
      </c>
      <c r="L7" s="221">
        <v>10</v>
      </c>
    </row>
    <row r="8" spans="1:12" s="271" customFormat="1" ht="16.5" customHeight="1">
      <c r="A8" s="828" t="s">
        <v>320</v>
      </c>
      <c r="B8" s="829"/>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26" t="s">
        <v>296</v>
      </c>
      <c r="B9" s="827"/>
      <c r="C9" s="224">
        <v>9</v>
      </c>
      <c r="D9" s="224">
        <v>2</v>
      </c>
      <c r="E9" s="224">
        <v>2</v>
      </c>
      <c r="F9" s="224">
        <v>0</v>
      </c>
      <c r="G9" s="224">
        <v>5</v>
      </c>
      <c r="H9" s="224">
        <v>8</v>
      </c>
      <c r="I9" s="224">
        <v>0</v>
      </c>
      <c r="J9" s="224">
        <v>8</v>
      </c>
      <c r="K9" s="224">
        <v>1</v>
      </c>
      <c r="L9" s="224">
        <v>0</v>
      </c>
    </row>
    <row r="10" spans="1:12" s="271" customFormat="1" ht="16.5" customHeight="1">
      <c r="A10" s="813" t="s">
        <v>176</v>
      </c>
      <c r="B10" s="813"/>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192</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265</v>
      </c>
      <c r="C13" s="272">
        <f aca="true" t="shared" si="3" ref="C13:C23">D13+E13+F13+G13</f>
        <v>0</v>
      </c>
      <c r="D13" s="231">
        <v>0</v>
      </c>
      <c r="E13" s="231">
        <v>0</v>
      </c>
      <c r="F13" s="231">
        <v>0</v>
      </c>
      <c r="G13" s="231">
        <v>0</v>
      </c>
      <c r="H13" s="231">
        <v>0</v>
      </c>
      <c r="I13" s="231">
        <v>0</v>
      </c>
      <c r="J13" s="273">
        <v>0</v>
      </c>
      <c r="K13" s="273">
        <v>0</v>
      </c>
      <c r="L13" s="273">
        <v>0</v>
      </c>
      <c r="AF13" s="271" t="s">
        <v>264</v>
      </c>
    </row>
    <row r="14" spans="1:37" s="271" customFormat="1" ht="16.5" customHeight="1">
      <c r="A14" s="274">
        <v>2</v>
      </c>
      <c r="B14" s="68" t="s">
        <v>297</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268</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269</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324</v>
      </c>
      <c r="C17" s="272">
        <f t="shared" si="3"/>
        <v>1</v>
      </c>
      <c r="D17" s="231">
        <v>0</v>
      </c>
      <c r="E17" s="231">
        <v>0</v>
      </c>
      <c r="F17" s="231">
        <v>0</v>
      </c>
      <c r="G17" s="231">
        <v>1</v>
      </c>
      <c r="H17" s="231">
        <v>1</v>
      </c>
      <c r="I17" s="231">
        <v>0</v>
      </c>
      <c r="J17" s="273">
        <v>1</v>
      </c>
      <c r="K17" s="273">
        <v>0</v>
      </c>
      <c r="L17" s="273">
        <v>0</v>
      </c>
      <c r="AF17" s="199" t="s">
        <v>267</v>
      </c>
    </row>
    <row r="18" spans="1:12" s="271" customFormat="1" ht="16.5" customHeight="1">
      <c r="A18" s="274">
        <v>6</v>
      </c>
      <c r="B18" s="68" t="s">
        <v>271</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276</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278</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279</v>
      </c>
      <c r="C21" s="272">
        <f t="shared" si="3"/>
        <v>0</v>
      </c>
      <c r="D21" s="231">
        <v>0</v>
      </c>
      <c r="E21" s="231">
        <v>0</v>
      </c>
      <c r="F21" s="231">
        <v>0</v>
      </c>
      <c r="G21" s="231">
        <v>0</v>
      </c>
      <c r="H21" s="231">
        <v>0</v>
      </c>
      <c r="I21" s="231">
        <v>0</v>
      </c>
      <c r="J21" s="273">
        <v>0</v>
      </c>
      <c r="K21" s="273">
        <v>0</v>
      </c>
      <c r="L21" s="273">
        <v>0</v>
      </c>
      <c r="AJ21" s="271" t="s">
        <v>272</v>
      </c>
      <c r="AK21" s="271" t="s">
        <v>273</v>
      </c>
      <c r="AL21" s="271" t="s">
        <v>274</v>
      </c>
      <c r="AM21" s="199" t="s">
        <v>275</v>
      </c>
    </row>
    <row r="22" spans="1:39" s="271" customFormat="1" ht="16.5" customHeight="1">
      <c r="A22" s="274">
        <v>10</v>
      </c>
      <c r="B22" s="68" t="s">
        <v>280</v>
      </c>
      <c r="C22" s="272">
        <f t="shared" si="3"/>
        <v>1</v>
      </c>
      <c r="D22" s="231">
        <v>0</v>
      </c>
      <c r="E22" s="231">
        <v>1</v>
      </c>
      <c r="F22" s="231">
        <v>0</v>
      </c>
      <c r="G22" s="231">
        <v>0</v>
      </c>
      <c r="H22" s="231">
        <v>1</v>
      </c>
      <c r="I22" s="231">
        <v>0</v>
      </c>
      <c r="J22" s="273">
        <v>1</v>
      </c>
      <c r="K22" s="273">
        <v>0</v>
      </c>
      <c r="L22" s="273">
        <v>0</v>
      </c>
      <c r="AM22" s="199" t="s">
        <v>277</v>
      </c>
    </row>
    <row r="23" spans="1:12" s="271" customFormat="1" ht="16.5" customHeight="1">
      <c r="A23" s="274">
        <v>11</v>
      </c>
      <c r="B23" s="68" t="s">
        <v>282</v>
      </c>
      <c r="C23" s="272">
        <f t="shared" si="3"/>
        <v>0</v>
      </c>
      <c r="D23" s="231">
        <v>0</v>
      </c>
      <c r="E23" s="231">
        <v>0</v>
      </c>
      <c r="F23" s="231">
        <v>0</v>
      </c>
      <c r="G23" s="231">
        <v>0</v>
      </c>
      <c r="H23" s="231">
        <v>0</v>
      </c>
      <c r="I23" s="231">
        <v>0</v>
      </c>
      <c r="J23" s="273">
        <v>0</v>
      </c>
      <c r="K23" s="273">
        <v>0</v>
      </c>
      <c r="L23" s="273">
        <v>0</v>
      </c>
    </row>
    <row r="24" ht="9" customHeight="1">
      <c r="AJ24" s="233" t="s">
        <v>272</v>
      </c>
    </row>
    <row r="25" spans="1:36" ht="15.75" customHeight="1">
      <c r="A25" s="733" t="s">
        <v>325</v>
      </c>
      <c r="B25" s="733"/>
      <c r="C25" s="733"/>
      <c r="D25" s="733"/>
      <c r="E25" s="182"/>
      <c r="F25" s="740" t="s">
        <v>283</v>
      </c>
      <c r="G25" s="740"/>
      <c r="H25" s="740"/>
      <c r="I25" s="740"/>
      <c r="J25" s="740"/>
      <c r="K25" s="740"/>
      <c r="L25" s="740"/>
      <c r="AJ25" s="190" t="s">
        <v>281</v>
      </c>
    </row>
    <row r="26" spans="1:44" ht="15" customHeight="1">
      <c r="A26" s="746" t="s">
        <v>149</v>
      </c>
      <c r="B26" s="746"/>
      <c r="C26" s="746"/>
      <c r="D26" s="746"/>
      <c r="E26" s="183"/>
      <c r="F26" s="749" t="s">
        <v>150</v>
      </c>
      <c r="G26" s="749"/>
      <c r="H26" s="749"/>
      <c r="I26" s="749"/>
      <c r="J26" s="749"/>
      <c r="K26" s="749"/>
      <c r="L26" s="749"/>
      <c r="AR26" s="190"/>
    </row>
    <row r="27" spans="1:12" s="170" customFormat="1" ht="18.75">
      <c r="A27" s="743"/>
      <c r="B27" s="743"/>
      <c r="C27" s="743"/>
      <c r="D27" s="743"/>
      <c r="E27" s="182"/>
      <c r="F27" s="744"/>
      <c r="G27" s="744"/>
      <c r="H27" s="744"/>
      <c r="I27" s="744"/>
      <c r="J27" s="744"/>
      <c r="K27" s="744"/>
      <c r="L27" s="744"/>
    </row>
    <row r="28" spans="1:35" ht="18">
      <c r="A28" s="187"/>
      <c r="B28" s="187"/>
      <c r="C28" s="182"/>
      <c r="D28" s="182"/>
      <c r="E28" s="182"/>
      <c r="F28" s="182"/>
      <c r="G28" s="182"/>
      <c r="H28" s="182"/>
      <c r="I28" s="182"/>
      <c r="J28" s="182"/>
      <c r="K28" s="182"/>
      <c r="L28" s="182"/>
      <c r="AG28" s="233" t="s">
        <v>284</v>
      </c>
      <c r="AI28" s="190">
        <f>82/88</f>
        <v>0.9318181818181818</v>
      </c>
    </row>
    <row r="29" spans="1:12" ht="18">
      <c r="A29" s="187"/>
      <c r="B29" s="824" t="s">
        <v>287</v>
      </c>
      <c r="C29" s="824"/>
      <c r="D29" s="182"/>
      <c r="E29" s="182"/>
      <c r="F29" s="182"/>
      <c r="G29" s="182"/>
      <c r="H29" s="824" t="s">
        <v>287</v>
      </c>
      <c r="I29" s="824"/>
      <c r="J29" s="824"/>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193</v>
      </c>
      <c r="B32" s="185"/>
      <c r="C32" s="186"/>
      <c r="D32" s="186"/>
      <c r="E32" s="186"/>
      <c r="F32" s="186"/>
      <c r="G32" s="186"/>
      <c r="H32" s="186"/>
      <c r="I32" s="186"/>
      <c r="J32" s="186"/>
      <c r="K32" s="186"/>
      <c r="L32" s="186"/>
    </row>
    <row r="33" spans="1:12" s="211" customFormat="1" ht="18.75" hidden="1">
      <c r="A33" s="237"/>
      <c r="B33" s="279" t="s">
        <v>194</v>
      </c>
      <c r="C33" s="279"/>
      <c r="D33" s="279"/>
      <c r="E33" s="236"/>
      <c r="F33" s="236"/>
      <c r="G33" s="236"/>
      <c r="H33" s="236"/>
      <c r="I33" s="236"/>
      <c r="J33" s="236"/>
      <c r="K33" s="236"/>
      <c r="L33" s="236"/>
    </row>
    <row r="34" spans="1:12" s="211" customFormat="1" ht="18.75" hidden="1">
      <c r="A34" s="237"/>
      <c r="B34" s="279" t="s">
        <v>195</v>
      </c>
      <c r="C34" s="279"/>
      <c r="D34" s="279"/>
      <c r="E34" s="279"/>
      <c r="F34" s="236"/>
      <c r="G34" s="236"/>
      <c r="H34" s="236"/>
      <c r="I34" s="236"/>
      <c r="J34" s="236"/>
      <c r="K34" s="236"/>
      <c r="L34" s="236"/>
    </row>
    <row r="35" spans="1:12" s="211" customFormat="1" ht="18.75" hidden="1">
      <c r="A35" s="237"/>
      <c r="B35" s="236" t="s">
        <v>196</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616" t="s">
        <v>240</v>
      </c>
      <c r="B37" s="616"/>
      <c r="C37" s="616"/>
      <c r="D37" s="616"/>
      <c r="E37" s="210"/>
      <c r="F37" s="617" t="s">
        <v>241</v>
      </c>
      <c r="G37" s="617"/>
      <c r="H37" s="617"/>
      <c r="I37" s="617"/>
      <c r="J37" s="617"/>
      <c r="K37" s="617"/>
      <c r="L37" s="617"/>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37" t="s">
        <v>197</v>
      </c>
      <c r="B1" s="837"/>
      <c r="C1" s="837"/>
      <c r="D1" s="817" t="s">
        <v>363</v>
      </c>
      <c r="E1" s="817"/>
      <c r="F1" s="817"/>
      <c r="G1" s="817"/>
      <c r="H1" s="817"/>
      <c r="I1" s="170"/>
      <c r="J1" s="171" t="s">
        <v>357</v>
      </c>
      <c r="K1" s="280"/>
      <c r="L1" s="280"/>
    </row>
    <row r="2" spans="1:12" ht="15.75" customHeight="1">
      <c r="A2" s="841" t="s">
        <v>298</v>
      </c>
      <c r="B2" s="841"/>
      <c r="C2" s="841"/>
      <c r="D2" s="817"/>
      <c r="E2" s="817"/>
      <c r="F2" s="817"/>
      <c r="G2" s="817"/>
      <c r="H2" s="817"/>
      <c r="I2" s="170"/>
      <c r="J2" s="281" t="s">
        <v>299</v>
      </c>
      <c r="K2" s="281"/>
      <c r="L2" s="281"/>
    </row>
    <row r="3" spans="1:12" ht="18.75" customHeight="1">
      <c r="A3" s="759" t="s">
        <v>250</v>
      </c>
      <c r="B3" s="759"/>
      <c r="C3" s="759"/>
      <c r="D3" s="167"/>
      <c r="E3" s="167"/>
      <c r="F3" s="167"/>
      <c r="G3" s="167"/>
      <c r="H3" s="167"/>
      <c r="I3" s="170"/>
      <c r="J3" s="174" t="s">
        <v>356</v>
      </c>
      <c r="K3" s="174"/>
      <c r="L3" s="174"/>
    </row>
    <row r="4" spans="1:12" ht="15.75" customHeight="1">
      <c r="A4" s="838" t="s">
        <v>326</v>
      </c>
      <c r="B4" s="838"/>
      <c r="C4" s="838"/>
      <c r="D4" s="836"/>
      <c r="E4" s="836"/>
      <c r="F4" s="836"/>
      <c r="G4" s="836"/>
      <c r="H4" s="836"/>
      <c r="I4" s="170"/>
      <c r="J4" s="282" t="s">
        <v>291</v>
      </c>
      <c r="K4" s="282"/>
      <c r="L4" s="282"/>
    </row>
    <row r="5" spans="1:12" ht="15.75">
      <c r="A5" s="842"/>
      <c r="B5" s="842"/>
      <c r="C5" s="166"/>
      <c r="D5" s="170"/>
      <c r="E5" s="170"/>
      <c r="F5" s="170"/>
      <c r="G5" s="170"/>
      <c r="H5" s="283"/>
      <c r="I5" s="834" t="s">
        <v>327</v>
      </c>
      <c r="J5" s="834"/>
      <c r="K5" s="834"/>
      <c r="L5" s="834"/>
    </row>
    <row r="6" spans="1:12" ht="18.75" customHeight="1">
      <c r="A6" s="751" t="s">
        <v>55</v>
      </c>
      <c r="B6" s="752"/>
      <c r="C6" s="830" t="s">
        <v>198</v>
      </c>
      <c r="D6" s="747" t="s">
        <v>199</v>
      </c>
      <c r="E6" s="835"/>
      <c r="F6" s="748"/>
      <c r="G6" s="747" t="s">
        <v>200</v>
      </c>
      <c r="H6" s="835"/>
      <c r="I6" s="835"/>
      <c r="J6" s="835"/>
      <c r="K6" s="835"/>
      <c r="L6" s="748"/>
    </row>
    <row r="7" spans="1:12" ht="15.75" customHeight="1">
      <c r="A7" s="753"/>
      <c r="B7" s="754"/>
      <c r="C7" s="831"/>
      <c r="D7" s="747" t="s">
        <v>7</v>
      </c>
      <c r="E7" s="835"/>
      <c r="F7" s="748"/>
      <c r="G7" s="830" t="s">
        <v>30</v>
      </c>
      <c r="H7" s="747" t="s">
        <v>7</v>
      </c>
      <c r="I7" s="835"/>
      <c r="J7" s="835"/>
      <c r="K7" s="835"/>
      <c r="L7" s="748"/>
    </row>
    <row r="8" spans="1:12" ht="14.25" customHeight="1">
      <c r="A8" s="753"/>
      <c r="B8" s="754"/>
      <c r="C8" s="831"/>
      <c r="D8" s="830" t="s">
        <v>201</v>
      </c>
      <c r="E8" s="830" t="s">
        <v>202</v>
      </c>
      <c r="F8" s="830" t="s">
        <v>203</v>
      </c>
      <c r="G8" s="831"/>
      <c r="H8" s="830" t="s">
        <v>204</v>
      </c>
      <c r="I8" s="830" t="s">
        <v>205</v>
      </c>
      <c r="J8" s="830" t="s">
        <v>206</v>
      </c>
      <c r="K8" s="830" t="s">
        <v>207</v>
      </c>
      <c r="L8" s="830" t="s">
        <v>208</v>
      </c>
    </row>
    <row r="9" spans="1:12" ht="77.25" customHeight="1">
      <c r="A9" s="755"/>
      <c r="B9" s="756"/>
      <c r="C9" s="832"/>
      <c r="D9" s="832"/>
      <c r="E9" s="832"/>
      <c r="F9" s="832"/>
      <c r="G9" s="832"/>
      <c r="H9" s="832"/>
      <c r="I9" s="832"/>
      <c r="J9" s="832"/>
      <c r="K9" s="832"/>
      <c r="L9" s="832"/>
    </row>
    <row r="10" spans="1:12" s="271" customFormat="1" ht="16.5" customHeight="1">
      <c r="A10" s="843" t="s">
        <v>6</v>
      </c>
      <c r="B10" s="844"/>
      <c r="C10" s="220">
        <v>1</v>
      </c>
      <c r="D10" s="220">
        <v>2</v>
      </c>
      <c r="E10" s="220">
        <v>3</v>
      </c>
      <c r="F10" s="220">
        <v>4</v>
      </c>
      <c r="G10" s="220">
        <v>5</v>
      </c>
      <c r="H10" s="220">
        <v>6</v>
      </c>
      <c r="I10" s="220">
        <v>7</v>
      </c>
      <c r="J10" s="220">
        <v>8</v>
      </c>
      <c r="K10" s="221" t="s">
        <v>61</v>
      </c>
      <c r="L10" s="221" t="s">
        <v>81</v>
      </c>
    </row>
    <row r="11" spans="1:12" s="271" customFormat="1" ht="16.5" customHeight="1">
      <c r="A11" s="847" t="s">
        <v>295</v>
      </c>
      <c r="B11" s="848"/>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45" t="s">
        <v>296</v>
      </c>
      <c r="B12" s="846"/>
      <c r="C12" s="224">
        <v>12</v>
      </c>
      <c r="D12" s="224">
        <v>0</v>
      </c>
      <c r="E12" s="224">
        <v>1</v>
      </c>
      <c r="F12" s="224">
        <v>11</v>
      </c>
      <c r="G12" s="224">
        <v>10</v>
      </c>
      <c r="H12" s="224">
        <v>0</v>
      </c>
      <c r="I12" s="224">
        <v>0</v>
      </c>
      <c r="J12" s="224">
        <v>0</v>
      </c>
      <c r="K12" s="224">
        <v>6</v>
      </c>
      <c r="L12" s="224">
        <v>4</v>
      </c>
    </row>
    <row r="13" spans="1:32" s="271" customFormat="1" ht="16.5" customHeight="1">
      <c r="A13" s="839" t="s">
        <v>30</v>
      </c>
      <c r="B13" s="840"/>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264</v>
      </c>
    </row>
    <row r="14" spans="1:37" s="271" customFormat="1" ht="16.5" customHeight="1">
      <c r="A14" s="274" t="s">
        <v>0</v>
      </c>
      <c r="B14" s="198" t="s">
        <v>127</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265</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266</v>
      </c>
      <c r="C17" s="226">
        <f t="shared" si="2"/>
        <v>1</v>
      </c>
      <c r="D17" s="231">
        <v>0</v>
      </c>
      <c r="E17" s="231">
        <v>0</v>
      </c>
      <c r="F17" s="231">
        <v>1</v>
      </c>
      <c r="G17" s="226">
        <f t="shared" si="1"/>
        <v>1</v>
      </c>
      <c r="H17" s="231">
        <v>0</v>
      </c>
      <c r="I17" s="231">
        <v>0</v>
      </c>
      <c r="J17" s="273">
        <v>0</v>
      </c>
      <c r="K17" s="273">
        <v>0</v>
      </c>
      <c r="L17" s="273">
        <v>1</v>
      </c>
      <c r="M17" s="285"/>
      <c r="AF17" s="199" t="s">
        <v>267</v>
      </c>
    </row>
    <row r="18" spans="1:14" s="271" customFormat="1" ht="15.75" customHeight="1">
      <c r="A18" s="200">
        <v>3</v>
      </c>
      <c r="B18" s="68" t="s">
        <v>268</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269</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270</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271</v>
      </c>
      <c r="C21" s="226">
        <f t="shared" si="2"/>
        <v>0</v>
      </c>
      <c r="D21" s="231">
        <v>0</v>
      </c>
      <c r="E21" s="231">
        <v>0</v>
      </c>
      <c r="F21" s="231">
        <v>0</v>
      </c>
      <c r="G21" s="226">
        <f t="shared" si="1"/>
        <v>0</v>
      </c>
      <c r="H21" s="231">
        <v>0</v>
      </c>
      <c r="I21" s="231">
        <v>0</v>
      </c>
      <c r="J21" s="273">
        <v>0</v>
      </c>
      <c r="K21" s="273">
        <v>0</v>
      </c>
      <c r="L21" s="273">
        <v>0</v>
      </c>
      <c r="M21" s="285"/>
      <c r="AJ21" s="271" t="s">
        <v>272</v>
      </c>
      <c r="AK21" s="271" t="s">
        <v>273</v>
      </c>
      <c r="AL21" s="271" t="s">
        <v>274</v>
      </c>
      <c r="AM21" s="199" t="s">
        <v>275</v>
      </c>
    </row>
    <row r="22" spans="1:39" s="271" customFormat="1" ht="15.75" customHeight="1">
      <c r="A22" s="200">
        <v>7</v>
      </c>
      <c r="B22" s="68" t="s">
        <v>276</v>
      </c>
      <c r="C22" s="226">
        <f t="shared" si="2"/>
        <v>0</v>
      </c>
      <c r="D22" s="231">
        <v>0</v>
      </c>
      <c r="E22" s="231">
        <v>0</v>
      </c>
      <c r="F22" s="231">
        <v>0</v>
      </c>
      <c r="G22" s="226">
        <f t="shared" si="1"/>
        <v>0</v>
      </c>
      <c r="H22" s="231">
        <v>0</v>
      </c>
      <c r="I22" s="231">
        <v>0</v>
      </c>
      <c r="J22" s="273">
        <v>0</v>
      </c>
      <c r="K22" s="273">
        <v>0</v>
      </c>
      <c r="L22" s="273">
        <v>0</v>
      </c>
      <c r="M22" s="285"/>
      <c r="N22" s="178"/>
      <c r="AM22" s="199" t="s">
        <v>277</v>
      </c>
    </row>
    <row r="23" spans="1:13" s="271" customFormat="1" ht="15.75" customHeight="1">
      <c r="A23" s="200">
        <v>8</v>
      </c>
      <c r="B23" s="68" t="s">
        <v>278</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279</v>
      </c>
      <c r="C24" s="226">
        <f t="shared" si="2"/>
        <v>0</v>
      </c>
      <c r="D24" s="231">
        <v>0</v>
      </c>
      <c r="E24" s="231">
        <v>0</v>
      </c>
      <c r="F24" s="231">
        <v>0</v>
      </c>
      <c r="G24" s="226">
        <f t="shared" si="1"/>
        <v>0</v>
      </c>
      <c r="H24" s="231">
        <v>0</v>
      </c>
      <c r="I24" s="231">
        <v>0</v>
      </c>
      <c r="J24" s="273">
        <v>0</v>
      </c>
      <c r="K24" s="273">
        <v>0</v>
      </c>
      <c r="L24" s="273">
        <v>0</v>
      </c>
      <c r="M24" s="285"/>
      <c r="AJ24" s="271" t="s">
        <v>272</v>
      </c>
    </row>
    <row r="25" spans="1:36" s="271" customFormat="1" ht="15.75" customHeight="1">
      <c r="A25" s="200">
        <v>10</v>
      </c>
      <c r="B25" s="68" t="s">
        <v>280</v>
      </c>
      <c r="C25" s="226">
        <f t="shared" si="2"/>
        <v>1</v>
      </c>
      <c r="D25" s="231">
        <v>0</v>
      </c>
      <c r="E25" s="231">
        <v>0</v>
      </c>
      <c r="F25" s="231">
        <v>1</v>
      </c>
      <c r="G25" s="226">
        <f t="shared" si="1"/>
        <v>1</v>
      </c>
      <c r="H25" s="231">
        <v>0</v>
      </c>
      <c r="I25" s="231">
        <v>0</v>
      </c>
      <c r="J25" s="273">
        <v>0</v>
      </c>
      <c r="K25" s="273">
        <v>0</v>
      </c>
      <c r="L25" s="273">
        <v>1</v>
      </c>
      <c r="M25" s="285"/>
      <c r="AJ25" s="199" t="s">
        <v>281</v>
      </c>
    </row>
    <row r="26" spans="1:44" s="271" customFormat="1" ht="15.75" customHeight="1">
      <c r="A26" s="200">
        <v>11</v>
      </c>
      <c r="B26" s="68" t="s">
        <v>282</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33" t="s">
        <v>283</v>
      </c>
      <c r="B28" s="733"/>
      <c r="C28" s="733"/>
      <c r="D28" s="733"/>
      <c r="E28" s="733"/>
      <c r="F28" s="182"/>
      <c r="G28" s="181"/>
      <c r="H28" s="294" t="s">
        <v>328</v>
      </c>
      <c r="I28" s="295"/>
      <c r="J28" s="295"/>
      <c r="K28" s="295"/>
      <c r="L28" s="295"/>
      <c r="AG28" s="233" t="s">
        <v>284</v>
      </c>
      <c r="AI28" s="190">
        <f>82/88</f>
        <v>0.9318181818181818</v>
      </c>
    </row>
    <row r="29" spans="1:12" ht="15" customHeight="1">
      <c r="A29" s="746" t="s">
        <v>4</v>
      </c>
      <c r="B29" s="746"/>
      <c r="C29" s="746"/>
      <c r="D29" s="746"/>
      <c r="E29" s="746"/>
      <c r="F29" s="182"/>
      <c r="G29" s="183"/>
      <c r="H29" s="749" t="s">
        <v>150</v>
      </c>
      <c r="I29" s="749"/>
      <c r="J29" s="749"/>
      <c r="K29" s="749"/>
      <c r="L29" s="749"/>
    </row>
    <row r="30" spans="1:14" s="170" customFormat="1" ht="18.75">
      <c r="A30" s="743"/>
      <c r="B30" s="743"/>
      <c r="C30" s="743"/>
      <c r="D30" s="743"/>
      <c r="E30" s="743"/>
      <c r="F30" s="296"/>
      <c r="G30" s="182"/>
      <c r="H30" s="744"/>
      <c r="I30" s="744"/>
      <c r="J30" s="744"/>
      <c r="K30" s="744"/>
      <c r="L30" s="744"/>
      <c r="M30" s="297"/>
      <c r="N30" s="297"/>
    </row>
    <row r="31" spans="1:12" ht="18">
      <c r="A31" s="182"/>
      <c r="B31" s="182"/>
      <c r="C31" s="182"/>
      <c r="D31" s="182"/>
      <c r="E31" s="182"/>
      <c r="F31" s="182"/>
      <c r="G31" s="182"/>
      <c r="H31" s="182"/>
      <c r="I31" s="182"/>
      <c r="J31" s="182"/>
      <c r="K31" s="182"/>
      <c r="L31" s="298"/>
    </row>
    <row r="32" spans="1:12" ht="18">
      <c r="A32" s="182"/>
      <c r="B32" s="824" t="s">
        <v>287</v>
      </c>
      <c r="C32" s="824"/>
      <c r="D32" s="824"/>
      <c r="E32" s="824"/>
      <c r="F32" s="182"/>
      <c r="G32" s="182"/>
      <c r="H32" s="182"/>
      <c r="I32" s="824" t="s">
        <v>287</v>
      </c>
      <c r="J32" s="824"/>
      <c r="K32" s="824"/>
      <c r="L32" s="298"/>
    </row>
    <row r="33" spans="1:12" ht="10.5" customHeight="1">
      <c r="A33" s="182"/>
      <c r="B33" s="182"/>
      <c r="C33" s="299" t="s">
        <v>286</v>
      </c>
      <c r="D33" s="299"/>
      <c r="E33" s="299"/>
      <c r="F33" s="299"/>
      <c r="G33" s="299"/>
      <c r="H33" s="299"/>
      <c r="I33" s="299"/>
      <c r="J33" s="300" t="s">
        <v>286</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33" t="s">
        <v>209</v>
      </c>
      <c r="C40" s="833"/>
      <c r="D40" s="833"/>
      <c r="E40" s="833"/>
      <c r="F40" s="833"/>
      <c r="G40" s="303"/>
      <c r="H40" s="301"/>
      <c r="I40" s="301"/>
      <c r="J40" s="301"/>
      <c r="K40" s="301"/>
      <c r="L40" s="301"/>
      <c r="M40" s="265"/>
      <c r="N40" s="265"/>
      <c r="O40" s="265"/>
      <c r="P40" s="265"/>
    </row>
    <row r="41" spans="1:12" ht="12.75" customHeight="1" hidden="1">
      <c r="A41" s="182"/>
      <c r="B41" s="279" t="s">
        <v>210</v>
      </c>
      <c r="C41" s="304"/>
      <c r="D41" s="304"/>
      <c r="E41" s="304"/>
      <c r="F41" s="304"/>
      <c r="G41" s="182"/>
      <c r="H41" s="301"/>
      <c r="I41" s="301"/>
      <c r="J41" s="301"/>
      <c r="K41" s="301"/>
      <c r="L41" s="301"/>
    </row>
    <row r="42" spans="1:12" ht="12.75" customHeight="1" hidden="1">
      <c r="A42" s="182"/>
      <c r="B42" s="236" t="s">
        <v>211</v>
      </c>
      <c r="C42" s="304"/>
      <c r="D42" s="304"/>
      <c r="E42" s="304"/>
      <c r="F42" s="304"/>
      <c r="G42" s="182"/>
      <c r="H42" s="301"/>
      <c r="I42" s="301"/>
      <c r="J42" s="301"/>
      <c r="K42" s="301"/>
      <c r="L42" s="301"/>
    </row>
    <row r="43" spans="1:12" ht="18.75">
      <c r="A43" s="616" t="s">
        <v>329</v>
      </c>
      <c r="B43" s="616"/>
      <c r="C43" s="616"/>
      <c r="D43" s="616"/>
      <c r="E43" s="616"/>
      <c r="F43" s="182"/>
      <c r="G43" s="301"/>
      <c r="H43" s="617" t="s">
        <v>241</v>
      </c>
      <c r="I43" s="617"/>
      <c r="J43" s="617"/>
      <c r="K43" s="617"/>
      <c r="L43" s="617"/>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61" t="s">
        <v>212</v>
      </c>
      <c r="B1" s="761"/>
      <c r="C1" s="761"/>
      <c r="D1" s="761"/>
      <c r="E1" s="306"/>
      <c r="F1" s="757" t="s">
        <v>364</v>
      </c>
      <c r="G1" s="757"/>
      <c r="H1" s="757"/>
      <c r="I1" s="757"/>
      <c r="J1" s="757"/>
      <c r="K1" s="757"/>
      <c r="L1" s="757"/>
      <c r="M1" s="757"/>
      <c r="N1" s="757"/>
      <c r="O1" s="757"/>
      <c r="P1" s="307" t="s">
        <v>288</v>
      </c>
      <c r="Q1" s="308"/>
      <c r="R1" s="308"/>
      <c r="S1" s="308"/>
      <c r="T1" s="308"/>
    </row>
    <row r="2" spans="1:20" s="177" customFormat="1" ht="20.25" customHeight="1">
      <c r="A2" s="867" t="s">
        <v>298</v>
      </c>
      <c r="B2" s="867"/>
      <c r="C2" s="867"/>
      <c r="D2" s="867"/>
      <c r="E2" s="306"/>
      <c r="F2" s="757"/>
      <c r="G2" s="757"/>
      <c r="H2" s="757"/>
      <c r="I2" s="757"/>
      <c r="J2" s="757"/>
      <c r="K2" s="757"/>
      <c r="L2" s="757"/>
      <c r="M2" s="757"/>
      <c r="N2" s="757"/>
      <c r="O2" s="757"/>
      <c r="P2" s="308" t="s">
        <v>330</v>
      </c>
      <c r="Q2" s="308"/>
      <c r="R2" s="308"/>
      <c r="S2" s="308"/>
      <c r="T2" s="308"/>
    </row>
    <row r="3" spans="1:20" s="177" customFormat="1" ht="15" customHeight="1">
      <c r="A3" s="867" t="s">
        <v>250</v>
      </c>
      <c r="B3" s="867"/>
      <c r="C3" s="867"/>
      <c r="D3" s="867"/>
      <c r="E3" s="306"/>
      <c r="F3" s="757"/>
      <c r="G3" s="757"/>
      <c r="H3" s="757"/>
      <c r="I3" s="757"/>
      <c r="J3" s="757"/>
      <c r="K3" s="757"/>
      <c r="L3" s="757"/>
      <c r="M3" s="757"/>
      <c r="N3" s="757"/>
      <c r="O3" s="757"/>
      <c r="P3" s="307" t="s">
        <v>356</v>
      </c>
      <c r="Q3" s="307"/>
      <c r="R3" s="307"/>
      <c r="S3" s="309"/>
      <c r="T3" s="309"/>
    </row>
    <row r="4" spans="1:20" s="177" customFormat="1" ht="15.75" customHeight="1">
      <c r="A4" s="869" t="s">
        <v>331</v>
      </c>
      <c r="B4" s="869"/>
      <c r="C4" s="869"/>
      <c r="D4" s="869"/>
      <c r="E4" s="307"/>
      <c r="F4" s="757"/>
      <c r="G4" s="757"/>
      <c r="H4" s="757"/>
      <c r="I4" s="757"/>
      <c r="J4" s="757"/>
      <c r="K4" s="757"/>
      <c r="L4" s="757"/>
      <c r="M4" s="757"/>
      <c r="N4" s="757"/>
      <c r="O4" s="757"/>
      <c r="P4" s="308" t="s">
        <v>300</v>
      </c>
      <c r="Q4" s="307"/>
      <c r="R4" s="307"/>
      <c r="S4" s="309"/>
      <c r="T4" s="309"/>
    </row>
    <row r="5" spans="1:18" s="177" customFormat="1" ht="24" customHeight="1">
      <c r="A5" s="310"/>
      <c r="B5" s="310"/>
      <c r="C5" s="310"/>
      <c r="F5" s="868"/>
      <c r="G5" s="868"/>
      <c r="H5" s="868"/>
      <c r="I5" s="868"/>
      <c r="J5" s="868"/>
      <c r="K5" s="868"/>
      <c r="L5" s="868"/>
      <c r="M5" s="868"/>
      <c r="N5" s="868"/>
      <c r="O5" s="868"/>
      <c r="P5" s="311" t="s">
        <v>332</v>
      </c>
      <c r="Q5" s="312"/>
      <c r="R5" s="312"/>
    </row>
    <row r="6" spans="1:20" s="313" customFormat="1" ht="21.75" customHeight="1">
      <c r="A6" s="860" t="s">
        <v>55</v>
      </c>
      <c r="B6" s="861"/>
      <c r="C6" s="764" t="s">
        <v>31</v>
      </c>
      <c r="D6" s="767"/>
      <c r="E6" s="764" t="s">
        <v>7</v>
      </c>
      <c r="F6" s="864"/>
      <c r="G6" s="864"/>
      <c r="H6" s="864"/>
      <c r="I6" s="864"/>
      <c r="J6" s="864"/>
      <c r="K6" s="864"/>
      <c r="L6" s="864"/>
      <c r="M6" s="864"/>
      <c r="N6" s="864"/>
      <c r="O6" s="864"/>
      <c r="P6" s="864"/>
      <c r="Q6" s="864"/>
      <c r="R6" s="864"/>
      <c r="S6" s="864"/>
      <c r="T6" s="767"/>
    </row>
    <row r="7" spans="1:21" s="313" customFormat="1" ht="22.5" customHeight="1">
      <c r="A7" s="862"/>
      <c r="B7" s="863"/>
      <c r="C7" s="736" t="s">
        <v>333</v>
      </c>
      <c r="D7" s="736" t="s">
        <v>334</v>
      </c>
      <c r="E7" s="764" t="s">
        <v>213</v>
      </c>
      <c r="F7" s="853"/>
      <c r="G7" s="853"/>
      <c r="H7" s="853"/>
      <c r="I7" s="853"/>
      <c r="J7" s="853"/>
      <c r="K7" s="853"/>
      <c r="L7" s="854"/>
      <c r="M7" s="764" t="s">
        <v>335</v>
      </c>
      <c r="N7" s="864"/>
      <c r="O7" s="864"/>
      <c r="P7" s="864"/>
      <c r="Q7" s="864"/>
      <c r="R7" s="864"/>
      <c r="S7" s="864"/>
      <c r="T7" s="767"/>
      <c r="U7" s="314"/>
    </row>
    <row r="8" spans="1:20" s="313" customFormat="1" ht="42.75" customHeight="1">
      <c r="A8" s="862"/>
      <c r="B8" s="863"/>
      <c r="C8" s="737"/>
      <c r="D8" s="737"/>
      <c r="E8" s="735" t="s">
        <v>336</v>
      </c>
      <c r="F8" s="735"/>
      <c r="G8" s="764" t="s">
        <v>337</v>
      </c>
      <c r="H8" s="864"/>
      <c r="I8" s="864"/>
      <c r="J8" s="864"/>
      <c r="K8" s="864"/>
      <c r="L8" s="767"/>
      <c r="M8" s="735" t="s">
        <v>338</v>
      </c>
      <c r="N8" s="735"/>
      <c r="O8" s="764" t="s">
        <v>337</v>
      </c>
      <c r="P8" s="864"/>
      <c r="Q8" s="864"/>
      <c r="R8" s="864"/>
      <c r="S8" s="864"/>
      <c r="T8" s="767"/>
    </row>
    <row r="9" spans="1:20" s="313" customFormat="1" ht="35.25" customHeight="1">
      <c r="A9" s="862"/>
      <c r="B9" s="863"/>
      <c r="C9" s="737"/>
      <c r="D9" s="737"/>
      <c r="E9" s="736" t="s">
        <v>214</v>
      </c>
      <c r="F9" s="736" t="s">
        <v>215</v>
      </c>
      <c r="G9" s="858" t="s">
        <v>216</v>
      </c>
      <c r="H9" s="859"/>
      <c r="I9" s="858" t="s">
        <v>217</v>
      </c>
      <c r="J9" s="859"/>
      <c r="K9" s="858" t="s">
        <v>218</v>
      </c>
      <c r="L9" s="859"/>
      <c r="M9" s="736" t="s">
        <v>219</v>
      </c>
      <c r="N9" s="736" t="s">
        <v>215</v>
      </c>
      <c r="O9" s="858" t="s">
        <v>216</v>
      </c>
      <c r="P9" s="859"/>
      <c r="Q9" s="858" t="s">
        <v>220</v>
      </c>
      <c r="R9" s="859"/>
      <c r="S9" s="858" t="s">
        <v>221</v>
      </c>
      <c r="T9" s="859"/>
    </row>
    <row r="10" spans="1:20" s="313" customFormat="1" ht="25.5" customHeight="1">
      <c r="A10" s="858"/>
      <c r="B10" s="859"/>
      <c r="C10" s="738"/>
      <c r="D10" s="738"/>
      <c r="E10" s="738"/>
      <c r="F10" s="738"/>
      <c r="G10" s="215" t="s">
        <v>219</v>
      </c>
      <c r="H10" s="215" t="s">
        <v>215</v>
      </c>
      <c r="I10" s="219" t="s">
        <v>219</v>
      </c>
      <c r="J10" s="215" t="s">
        <v>215</v>
      </c>
      <c r="K10" s="219" t="s">
        <v>219</v>
      </c>
      <c r="L10" s="215" t="s">
        <v>215</v>
      </c>
      <c r="M10" s="738"/>
      <c r="N10" s="738"/>
      <c r="O10" s="215" t="s">
        <v>219</v>
      </c>
      <c r="P10" s="215" t="s">
        <v>215</v>
      </c>
      <c r="Q10" s="219" t="s">
        <v>219</v>
      </c>
      <c r="R10" s="215" t="s">
        <v>215</v>
      </c>
      <c r="S10" s="219" t="s">
        <v>219</v>
      </c>
      <c r="T10" s="215" t="s">
        <v>215</v>
      </c>
    </row>
    <row r="11" spans="1:32" s="222" customFormat="1" ht="12.75">
      <c r="A11" s="851" t="s">
        <v>6</v>
      </c>
      <c r="B11" s="852"/>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264</v>
      </c>
    </row>
    <row r="12" spans="1:20" s="222" customFormat="1" ht="20.25" customHeight="1">
      <c r="A12" s="865" t="s">
        <v>320</v>
      </c>
      <c r="B12" s="866"/>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9" t="s">
        <v>296</v>
      </c>
      <c r="B13" s="850"/>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56" t="s">
        <v>30</v>
      </c>
      <c r="B14" s="857"/>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127</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265</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267</v>
      </c>
    </row>
    <row r="18" spans="1:20" s="178" customFormat="1" ht="15.75" customHeight="1">
      <c r="A18" s="200">
        <v>2</v>
      </c>
      <c r="B18" s="68" t="s">
        <v>297</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268</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269</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270</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272</v>
      </c>
      <c r="AK21" s="178" t="s">
        <v>273</v>
      </c>
      <c r="AL21" s="178" t="s">
        <v>274</v>
      </c>
      <c r="AM21" s="199" t="s">
        <v>275</v>
      </c>
    </row>
    <row r="22" spans="1:39" s="178" customFormat="1" ht="15.75" customHeight="1">
      <c r="A22" s="200">
        <v>6</v>
      </c>
      <c r="B22" s="68" t="s">
        <v>271</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277</v>
      </c>
    </row>
    <row r="23" spans="1:20" s="178" customFormat="1" ht="15.75" customHeight="1">
      <c r="A23" s="200">
        <v>7</v>
      </c>
      <c r="B23" s="68" t="s">
        <v>276</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278</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272</v>
      </c>
    </row>
    <row r="25" spans="1:36" s="178" customFormat="1" ht="15.75" customHeight="1">
      <c r="A25" s="200">
        <v>9</v>
      </c>
      <c r="B25" s="68" t="s">
        <v>279</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281</v>
      </c>
    </row>
    <row r="26" spans="1:44" s="178" customFormat="1" ht="15.75" customHeight="1">
      <c r="A26" s="200">
        <v>10</v>
      </c>
      <c r="B26" s="68" t="s">
        <v>280</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282</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284</v>
      </c>
      <c r="AI28" s="190">
        <f>82/88</f>
        <v>0.9318181818181818</v>
      </c>
    </row>
    <row r="29" spans="1:20" ht="15.75" customHeight="1">
      <c r="A29" s="180"/>
      <c r="B29" s="733" t="s">
        <v>283</v>
      </c>
      <c r="C29" s="733"/>
      <c r="D29" s="733"/>
      <c r="E29" s="733"/>
      <c r="F29" s="733"/>
      <c r="G29" s="733"/>
      <c r="H29" s="181"/>
      <c r="I29" s="181"/>
      <c r="J29" s="182"/>
      <c r="K29" s="181"/>
      <c r="L29" s="740" t="s">
        <v>283</v>
      </c>
      <c r="M29" s="740"/>
      <c r="N29" s="740"/>
      <c r="O29" s="740"/>
      <c r="P29" s="740"/>
      <c r="Q29" s="740"/>
      <c r="R29" s="740"/>
      <c r="S29" s="740"/>
      <c r="T29" s="740"/>
    </row>
    <row r="30" spans="1:20" ht="15" customHeight="1">
      <c r="A30" s="180"/>
      <c r="B30" s="746" t="s">
        <v>35</v>
      </c>
      <c r="C30" s="746"/>
      <c r="D30" s="746"/>
      <c r="E30" s="746"/>
      <c r="F30" s="746"/>
      <c r="G30" s="746"/>
      <c r="H30" s="183"/>
      <c r="I30" s="183"/>
      <c r="J30" s="183"/>
      <c r="K30" s="183"/>
      <c r="L30" s="749" t="s">
        <v>239</v>
      </c>
      <c r="M30" s="749"/>
      <c r="N30" s="749"/>
      <c r="O30" s="749"/>
      <c r="P30" s="749"/>
      <c r="Q30" s="749"/>
      <c r="R30" s="749"/>
      <c r="S30" s="749"/>
      <c r="T30" s="749"/>
    </row>
    <row r="31" spans="1:20" s="320" customFormat="1" ht="18.75">
      <c r="A31" s="318"/>
      <c r="B31" s="743"/>
      <c r="C31" s="743"/>
      <c r="D31" s="743"/>
      <c r="E31" s="743"/>
      <c r="F31" s="743"/>
      <c r="G31" s="319"/>
      <c r="H31" s="319"/>
      <c r="I31" s="319"/>
      <c r="J31" s="319"/>
      <c r="K31" s="319"/>
      <c r="L31" s="744"/>
      <c r="M31" s="744"/>
      <c r="N31" s="744"/>
      <c r="O31" s="744"/>
      <c r="P31" s="744"/>
      <c r="Q31" s="744"/>
      <c r="R31" s="744"/>
      <c r="S31" s="744"/>
      <c r="T31" s="744"/>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55" t="s">
        <v>287</v>
      </c>
      <c r="C33" s="855"/>
      <c r="D33" s="855"/>
      <c r="E33" s="855"/>
      <c r="F33" s="855"/>
      <c r="G33" s="321"/>
      <c r="H33" s="321"/>
      <c r="I33" s="321"/>
      <c r="J33" s="321"/>
      <c r="K33" s="321"/>
      <c r="L33" s="321"/>
      <c r="M33" s="321"/>
      <c r="N33" s="321"/>
      <c r="O33" s="855" t="s">
        <v>287</v>
      </c>
      <c r="P33" s="855"/>
      <c r="Q33" s="855"/>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209</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210</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222</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616" t="s">
        <v>240</v>
      </c>
      <c r="C39" s="616"/>
      <c r="D39" s="616"/>
      <c r="E39" s="616"/>
      <c r="F39" s="616"/>
      <c r="G39" s="616"/>
      <c r="H39" s="182"/>
      <c r="I39" s="182"/>
      <c r="J39" s="182"/>
      <c r="K39" s="182"/>
      <c r="L39" s="617" t="s">
        <v>241</v>
      </c>
      <c r="M39" s="617"/>
      <c r="N39" s="617"/>
      <c r="O39" s="617"/>
      <c r="P39" s="617"/>
      <c r="Q39" s="617"/>
      <c r="R39" s="617"/>
      <c r="S39" s="617"/>
      <c r="T39" s="617"/>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E8:F8"/>
    <mergeCell ref="Q9:R9"/>
    <mergeCell ref="A4:D4"/>
    <mergeCell ref="F9:F10"/>
    <mergeCell ref="F1:O4"/>
    <mergeCell ref="G9:H9"/>
    <mergeCell ref="A1:D1"/>
    <mergeCell ref="M8:N8"/>
    <mergeCell ref="A2:D2"/>
    <mergeCell ref="C6:D6"/>
    <mergeCell ref="M9:M10"/>
    <mergeCell ref="A12:B12"/>
    <mergeCell ref="E6:T6"/>
    <mergeCell ref="N9:N10"/>
    <mergeCell ref="E9:E10"/>
    <mergeCell ref="A3:D3"/>
    <mergeCell ref="I9:J9"/>
    <mergeCell ref="F5:O5"/>
    <mergeCell ref="O9:P9"/>
    <mergeCell ref="M7:T7"/>
    <mergeCell ref="O8:T8"/>
    <mergeCell ref="O33:Q33"/>
    <mergeCell ref="K9:L9"/>
    <mergeCell ref="A6:B10"/>
    <mergeCell ref="G8:L8"/>
    <mergeCell ref="B39:G39"/>
    <mergeCell ref="L29:T29"/>
    <mergeCell ref="L30:T30"/>
    <mergeCell ref="L39:T39"/>
    <mergeCell ref="B30:G30"/>
    <mergeCell ref="C7:C10"/>
    <mergeCell ref="D7:D10"/>
    <mergeCell ref="A13:B13"/>
    <mergeCell ref="A11:B11"/>
    <mergeCell ref="E7:L7"/>
    <mergeCell ref="B33:F33"/>
    <mergeCell ref="B31:F31"/>
    <mergeCell ref="B29:G29"/>
    <mergeCell ref="A14:B14"/>
    <mergeCell ref="L31:T31"/>
    <mergeCell ref="S9:T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2017-03-07T01:22:23Z</cp:lastPrinted>
  <dcterms:created xsi:type="dcterms:W3CDTF">2004-03-07T02:36:29Z</dcterms:created>
  <dcterms:modified xsi:type="dcterms:W3CDTF">2017-03-07T02:06:10Z</dcterms:modified>
  <cp:category/>
  <cp:version/>
  <cp:contentType/>
  <cp:contentStatus/>
</cp:coreProperties>
</file>